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ocuments\2 Propuesta Tecnologias Tratamiento y Piscicultura\Actualizacion 2023\Contenidos 23\"/>
    </mc:Choice>
  </mc:AlternateContent>
  <xr:revisionPtr revIDLastSave="0" documentId="13_ncr:1_{712CC386-42EF-4F7A-9345-68690FE50CE8}" xr6:coauthVersionLast="47" xr6:coauthVersionMax="47" xr10:uidLastSave="{00000000-0000-0000-0000-000000000000}"/>
  <bookViews>
    <workbookView xWindow="-120" yWindow="-120" windowWidth="19440" windowHeight="15000" tabRatio="906" activeTab="1" xr2:uid="{00000000-000D-0000-FFFF-FFFF00000000}"/>
  </bookViews>
  <sheets>
    <sheet name="Parrilla Nitrificacion Parcial" sheetId="25" r:id="rId1"/>
    <sheet name="Planta USA" sheetId="24" r:id="rId2"/>
    <sheet name="Agua-T°C" sheetId="26" r:id="rId3"/>
    <sheet name="Nitrificación" sheetId="30" r:id="rId4"/>
    <sheet name="Tubería de Aireación" sheetId="18" r:id="rId5"/>
    <sheet name="Tuberías Varias" sheetId="31" r:id="rId6"/>
    <sheet name="Válvula de Flotador" sheetId="27" r:id="rId7"/>
    <sheet name="Lecho de Secado" sheetId="29" r:id="rId8"/>
    <sheet name="Diagrama flujo TQA" sheetId="16" r:id="rId9"/>
    <sheet name="Controles" sheetId="13" r:id="rId10"/>
    <sheet name="Secuencia" sheetId="3" r:id="rId11"/>
    <sheet name=" TQA Datos" sheetId="1" r:id="rId12"/>
    <sheet name="Burbujas" sheetId="5" r:id="rId13"/>
    <sheet name="Peso Atomico" sheetId="6" r:id="rId14"/>
  </sheets>
  <externalReferences>
    <externalReference r:id="rId15"/>
    <externalReference r:id="rId16"/>
    <externalReference r:id="rId17"/>
    <externalReference r:id="rId18"/>
  </externalReferences>
  <definedNames>
    <definedName name="_Hlk80432640" localSheetId="1">'Planta USA'!#REF!</definedName>
    <definedName name="_Ref223919623" localSheetId="4">'[1]Cal BRAC'!$G$100</definedName>
    <definedName name="a" localSheetId="13">'Peso Atomico'!$A$2</definedName>
    <definedName name="_xlnm.Print_Area" localSheetId="11">' TQA Datos'!$B$1:$E$293</definedName>
    <definedName name="b" localSheetId="13">'Peso Atomico'!$A$10</definedName>
    <definedName name="d" localSheetId="13">'Peso Atomico'!$A$28</definedName>
    <definedName name="descripcion" localSheetId="8">'Diagrama flujo TQA'!$E$38</definedName>
    <definedName name="e" localSheetId="13">'Peso Atomico'!$A$29</definedName>
    <definedName name="g" localSheetId="13">'Peso Atomico'!$A$40</definedName>
    <definedName name="h" localSheetId="13">'Peso Atomico'!$A$43</definedName>
    <definedName name="i" localSheetId="13">'Peso Atomico'!$A$47</definedName>
    <definedName name="k" localSheetId="13">'Peso Atomico'!$A$51</definedName>
    <definedName name="l" localSheetId="13">'Peso Atomico'!$A$52</definedName>
    <definedName name="m" localSheetId="13">'Peso Atomico'!$A$56</definedName>
    <definedName name="n" localSheetId="13">'Peso Atomico'!$A$61</definedName>
    <definedName name="o" localSheetId="13">'Peso Atomico'!$A$68</definedName>
    <definedName name="p" localSheetId="13">'Peso Atomico'!$A$71</definedName>
    <definedName name="s" localSheetId="13">'Peso Atomico'!$A$87</definedName>
    <definedName name="t" localSheetId="13">'Peso Atomico'!$A$91</definedName>
    <definedName name="u" localSheetId="13">'Peso Atomico'!$A$100</definedName>
    <definedName name="v" localSheetId="13">'Peso Atomico'!$A$101</definedName>
    <definedName name="x" localSheetId="13">'Peso Atomico'!$A$102</definedName>
    <definedName name="y" localSheetId="13">'Peso Atomico'!$A$103</definedName>
    <definedName name="z" localSheetId="13">'Peso Atomico'!$A$104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6" i="18" l="1"/>
  <c r="H45" i="18"/>
  <c r="H44" i="18"/>
  <c r="H31" i="18"/>
  <c r="H26" i="18"/>
  <c r="H19" i="18"/>
  <c r="H18" i="18"/>
  <c r="H16" i="18"/>
  <c r="H7" i="18"/>
  <c r="H6" i="18"/>
  <c r="H4" i="18"/>
  <c r="G47" i="18"/>
  <c r="H47" i="18" s="1"/>
  <c r="G30" i="18"/>
  <c r="G27" i="18"/>
  <c r="G22" i="31"/>
  <c r="G20" i="31"/>
  <c r="H38" i="31"/>
  <c r="H37" i="31"/>
  <c r="H35" i="31"/>
  <c r="H32" i="31"/>
  <c r="H29" i="31"/>
  <c r="H28" i="31"/>
  <c r="H8" i="31"/>
  <c r="H5" i="31"/>
  <c r="G31" i="31"/>
  <c r="G27" i="31"/>
  <c r="G36" i="31" s="1"/>
  <c r="G40" i="31" s="1"/>
  <c r="G18" i="31"/>
  <c r="G7" i="31"/>
  <c r="G6" i="31"/>
  <c r="G9" i="31" s="1"/>
  <c r="G11" i="31" s="1"/>
  <c r="H60" i="25"/>
  <c r="H54" i="25"/>
  <c r="G57" i="25"/>
  <c r="G38" i="25"/>
  <c r="G31" i="25"/>
  <c r="E31" i="25"/>
  <c r="G28" i="25"/>
  <c r="G29" i="25" s="1"/>
  <c r="G20" i="25"/>
  <c r="G21" i="25" s="1"/>
  <c r="G23" i="25" s="1"/>
  <c r="G19" i="25"/>
  <c r="G16" i="25"/>
  <c r="G53" i="25" s="1"/>
  <c r="G14" i="25"/>
  <c r="H124" i="24"/>
  <c r="H119" i="24"/>
  <c r="H114" i="24"/>
  <c r="H113" i="24"/>
  <c r="H110" i="24"/>
  <c r="H108" i="24"/>
  <c r="H104" i="24"/>
  <c r="H101" i="24"/>
  <c r="H100" i="24"/>
  <c r="H97" i="24"/>
  <c r="H96" i="24"/>
  <c r="H95" i="24"/>
  <c r="H91" i="24"/>
  <c r="H89" i="24"/>
  <c r="H88" i="24"/>
  <c r="H87" i="24"/>
  <c r="H82" i="24"/>
  <c r="H80" i="24"/>
  <c r="H77" i="24"/>
  <c r="H76" i="24"/>
  <c r="H73" i="24"/>
  <c r="H71" i="24"/>
  <c r="H70" i="24"/>
  <c r="H43" i="24"/>
  <c r="H39" i="24"/>
  <c r="H37" i="24"/>
  <c r="H36" i="24"/>
  <c r="H30" i="24"/>
  <c r="H29" i="24"/>
  <c r="H27" i="24"/>
  <c r="H26" i="24"/>
  <c r="H25" i="24"/>
  <c r="H21" i="24"/>
  <c r="H17" i="24"/>
  <c r="H15" i="24"/>
  <c r="H14" i="24"/>
  <c r="G116" i="24"/>
  <c r="G79" i="24"/>
  <c r="G78" i="24"/>
  <c r="G123" i="24"/>
  <c r="G120" i="24"/>
  <c r="G98" i="24"/>
  <c r="G102" i="24" s="1"/>
  <c r="G83" i="24"/>
  <c r="G84" i="24" s="1"/>
  <c r="G72" i="24"/>
  <c r="G74" i="24" s="1"/>
  <c r="G63" i="24" s="1"/>
  <c r="G53" i="24"/>
  <c r="G50" i="24"/>
  <c r="G45" i="24"/>
  <c r="G44" i="24"/>
  <c r="G32" i="24"/>
  <c r="G33" i="24" s="1"/>
  <c r="G31" i="24"/>
  <c r="G28" i="24"/>
  <c r="G50" i="25" s="1"/>
  <c r="G22" i="24"/>
  <c r="G38" i="24" s="1"/>
  <c r="G19" i="24"/>
  <c r="G18" i="24"/>
  <c r="G121" i="24" s="1"/>
  <c r="G16" i="24"/>
  <c r="G32" i="25" l="1"/>
  <c r="G34" i="31"/>
  <c r="G32" i="18"/>
  <c r="G10" i="31"/>
  <c r="G14" i="31"/>
  <c r="G15" i="31"/>
  <c r="G19" i="31"/>
  <c r="G21" i="31" s="1"/>
  <c r="G23" i="31" s="1"/>
  <c r="G17" i="31" s="1"/>
  <c r="G13" i="31"/>
  <c r="G39" i="31"/>
  <c r="G30" i="31"/>
  <c r="G24" i="25"/>
  <c r="G39" i="25"/>
  <c r="G41" i="25" s="1"/>
  <c r="G44" i="25" s="1"/>
  <c r="G45" i="25" s="1"/>
  <c r="G33" i="25"/>
  <c r="G122" i="24"/>
  <c r="G125" i="24" s="1"/>
  <c r="G51" i="24"/>
  <c r="G40" i="24"/>
  <c r="G48" i="24"/>
  <c r="G34" i="24"/>
  <c r="G105" i="24"/>
  <c r="G111" i="24"/>
  <c r="G112" i="24" s="1"/>
  <c r="G99" i="24"/>
  <c r="G103" i="24" s="1"/>
  <c r="G106" i="24" s="1"/>
  <c r="G51" i="25" l="1"/>
  <c r="G43" i="18"/>
  <c r="G33" i="31"/>
  <c r="G4" i="31"/>
  <c r="G59" i="25"/>
  <c r="G56" i="24"/>
  <c r="G52" i="24"/>
  <c r="G117" i="24" s="1"/>
  <c r="G126" i="24"/>
  <c r="G127" i="24" s="1"/>
  <c r="G49" i="24"/>
  <c r="G109" i="24"/>
  <c r="G107" i="24"/>
  <c r="G115" i="24"/>
  <c r="G20" i="24" s="1"/>
  <c r="G48" i="18" l="1"/>
  <c r="G28" i="18"/>
  <c r="G29" i="18" s="1"/>
  <c r="G17" i="18" s="1"/>
  <c r="G21" i="18" s="1"/>
  <c r="G41" i="31"/>
  <c r="G3" i="31"/>
  <c r="G54" i="24"/>
  <c r="G5" i="18" l="1"/>
  <c r="G20" i="18"/>
  <c r="G22" i="18" s="1"/>
  <c r="G44" i="31"/>
  <c r="G43" i="31"/>
  <c r="G81" i="24"/>
  <c r="G55" i="24"/>
  <c r="G34" i="25" s="1"/>
  <c r="G23" i="24"/>
  <c r="G8" i="18" l="1"/>
  <c r="G10" i="18" s="1"/>
  <c r="G9" i="18"/>
  <c r="G12" i="18"/>
  <c r="G14" i="18"/>
  <c r="G24" i="18"/>
  <c r="G13" i="18"/>
  <c r="G35" i="25"/>
  <c r="G36" i="25" s="1"/>
  <c r="G37" i="25" s="1"/>
  <c r="G48" i="25" s="1"/>
  <c r="G49" i="25" s="1"/>
  <c r="E31" i="24"/>
  <c r="E32" i="24"/>
  <c r="D32" i="24" l="1"/>
  <c r="H32" i="24"/>
  <c r="G52" i="25"/>
  <c r="G41" i="24" s="1"/>
  <c r="G61" i="24"/>
  <c r="G3" i="18"/>
  <c r="D31" i="24"/>
  <c r="H31" i="24"/>
  <c r="G15" i="18"/>
  <c r="G42" i="25"/>
  <c r="E33" i="24"/>
  <c r="H33" i="24" s="1"/>
  <c r="E31" i="31"/>
  <c r="H31" i="31" s="1"/>
  <c r="E27" i="31"/>
  <c r="E36" i="31" l="1"/>
  <c r="H36" i="31" s="1"/>
  <c r="H27" i="31"/>
  <c r="E30" i="31"/>
  <c r="E34" i="31"/>
  <c r="H34" i="31" s="1"/>
  <c r="E33" i="31" l="1"/>
  <c r="H30" i="31"/>
  <c r="E40" i="31"/>
  <c r="H40" i="31" s="1"/>
  <c r="E39" i="31"/>
  <c r="H39" i="31" s="1"/>
  <c r="E41" i="31" l="1"/>
  <c r="H33" i="31"/>
  <c r="E30" i="18"/>
  <c r="H30" i="18" s="1"/>
  <c r="E34" i="24"/>
  <c r="H34" i="24" s="1"/>
  <c r="E43" i="31" l="1"/>
  <c r="H43" i="31" s="1"/>
  <c r="H41" i="31"/>
  <c r="E44" i="31"/>
  <c r="H44" i="31" s="1"/>
  <c r="E20" i="31"/>
  <c r="H20" i="31" s="1"/>
  <c r="E18" i="31" l="1"/>
  <c r="H18" i="31" s="1"/>
  <c r="E22" i="31"/>
  <c r="H22" i="31" s="1"/>
  <c r="E28" i="24"/>
  <c r="H28" i="24" s="1"/>
  <c r="E6" i="31"/>
  <c r="E7" i="31"/>
  <c r="H7" i="31" s="1"/>
  <c r="E19" i="31" l="1"/>
  <c r="H19" i="31" s="1"/>
  <c r="H6" i="31"/>
  <c r="E9" i="31"/>
  <c r="E10" i="31"/>
  <c r="H10" i="31" s="1"/>
  <c r="E11" i="31" l="1"/>
  <c r="H11" i="31" s="1"/>
  <c r="H9" i="31"/>
  <c r="E15" i="31"/>
  <c r="H15" i="31" s="1"/>
  <c r="E14" i="31"/>
  <c r="H14" i="31" s="1"/>
  <c r="E13" i="31" l="1"/>
  <c r="H13" i="31" s="1"/>
  <c r="E4" i="31" l="1"/>
  <c r="H4" i="31" s="1"/>
  <c r="E57" i="25"/>
  <c r="H57" i="25" s="1"/>
  <c r="E27" i="18"/>
  <c r="E32" i="18" l="1"/>
  <c r="H27" i="18"/>
  <c r="E47" i="18"/>
  <c r="B52" i="18"/>
  <c r="B53" i="18" s="1"/>
  <c r="B54" i="18" s="1"/>
  <c r="B55" i="18" s="1"/>
  <c r="B56" i="18" s="1"/>
  <c r="B57" i="18" s="1"/>
  <c r="B58" i="18" s="1"/>
  <c r="B59" i="18" s="1"/>
  <c r="B60" i="18" s="1"/>
  <c r="B61" i="18" s="1"/>
  <c r="B62" i="18" s="1"/>
  <c r="B63" i="18" s="1"/>
  <c r="B64" i="18" s="1"/>
  <c r="B65" i="18" s="1"/>
  <c r="B66" i="18" s="1"/>
  <c r="B67" i="18" s="1"/>
  <c r="B68" i="18" s="1"/>
  <c r="B69" i="18" s="1"/>
  <c r="B70" i="18" s="1"/>
  <c r="B71" i="18" s="1"/>
  <c r="B72" i="18" s="1"/>
  <c r="B73" i="18" s="1"/>
  <c r="B74" i="18" s="1"/>
  <c r="B75" i="18" s="1"/>
  <c r="B76" i="18" s="1"/>
  <c r="B77" i="18" s="1"/>
  <c r="B78" i="18" s="1"/>
  <c r="B79" i="18" s="1"/>
  <c r="B80" i="18" s="1"/>
  <c r="H32" i="18" l="1"/>
  <c r="E50" i="25"/>
  <c r="H50" i="25" s="1"/>
  <c r="E22" i="24" l="1"/>
  <c r="E38" i="24" l="1"/>
  <c r="H22" i="24"/>
  <c r="E45" i="24"/>
  <c r="H45" i="24" s="1"/>
  <c r="E44" i="24"/>
  <c r="H44" i="24" s="1"/>
  <c r="E40" i="24" l="1"/>
  <c r="H40" i="24" s="1"/>
  <c r="H38" i="24"/>
  <c r="E48" i="24"/>
  <c r="H48" i="24" s="1"/>
  <c r="E49" i="24"/>
  <c r="H49" i="24" s="1"/>
  <c r="E83" i="24"/>
  <c r="E50" i="24"/>
  <c r="E14" i="25"/>
  <c r="D25" i="29"/>
  <c r="D48" i="29"/>
  <c r="D43" i="29"/>
  <c r="D45" i="29" s="1"/>
  <c r="D37" i="29"/>
  <c r="D30" i="29"/>
  <c r="D50" i="29" s="1"/>
  <c r="A16" i="29"/>
  <c r="E116" i="24"/>
  <c r="H116" i="24" s="1"/>
  <c r="E51" i="24" l="1"/>
  <c r="H51" i="24" s="1"/>
  <c r="H50" i="24"/>
  <c r="E84" i="24"/>
  <c r="H84" i="24" s="1"/>
  <c r="H83" i="24"/>
  <c r="E52" i="24"/>
  <c r="H52" i="24" s="1"/>
  <c r="D33" i="29"/>
  <c r="D35" i="29" s="1"/>
  <c r="D39" i="29" s="1"/>
  <c r="D40" i="29" s="1"/>
  <c r="D51" i="29"/>
  <c r="D31" i="29"/>
  <c r="E19" i="24" l="1"/>
  <c r="H19" i="24" s="1"/>
  <c r="E53" i="24" l="1"/>
  <c r="E120" i="24"/>
  <c r="H120" i="24" s="1"/>
  <c r="E54" i="24" l="1"/>
  <c r="E55" i="24" s="1"/>
  <c r="H53" i="24"/>
  <c r="B36" i="18"/>
  <c r="B37" i="18" s="1"/>
  <c r="B38" i="18" s="1"/>
  <c r="B39" i="18" s="1"/>
  <c r="B40" i="18" s="1"/>
  <c r="B41" i="18" s="1"/>
  <c r="H54" i="24" l="1"/>
  <c r="E34" i="25"/>
  <c r="H55" i="24"/>
  <c r="E56" i="24"/>
  <c r="H56" i="24" s="1"/>
  <c r="E78" i="24"/>
  <c r="H78" i="24" s="1"/>
  <c r="E79" i="24"/>
  <c r="H79" i="24" s="1"/>
  <c r="E21" i="31" l="1"/>
  <c r="E72" i="24"/>
  <c r="H72" i="24" s="1"/>
  <c r="E23" i="31" l="1"/>
  <c r="H21" i="31"/>
  <c r="B16" i="27"/>
  <c r="F15" i="27"/>
  <c r="F16" i="27" s="1"/>
  <c r="D15" i="27"/>
  <c r="D16" i="27" s="1"/>
  <c r="B15" i="27"/>
  <c r="F13" i="27"/>
  <c r="D13" i="27"/>
  <c r="B13" i="27"/>
  <c r="B17" i="27" s="1"/>
  <c r="B18" i="27" s="1"/>
  <c r="F11" i="27"/>
  <c r="D11" i="27"/>
  <c r="B11" i="27"/>
  <c r="E17" i="31" l="1"/>
  <c r="H23" i="31"/>
  <c r="B19" i="27"/>
  <c r="D17" i="27"/>
  <c r="D18" i="27" s="1"/>
  <c r="D19" i="27"/>
  <c r="F17" i="27"/>
  <c r="F18" i="27" s="1"/>
  <c r="F19" i="27" s="1"/>
  <c r="E3" i="31" l="1"/>
  <c r="H17" i="31"/>
  <c r="E20" i="27"/>
  <c r="H3" i="31" l="1"/>
  <c r="E81" i="24"/>
  <c r="E74" i="24"/>
  <c r="E38" i="25"/>
  <c r="E46" i="26"/>
  <c r="E45" i="26"/>
  <c r="E44" i="26"/>
  <c r="E43" i="26"/>
  <c r="E42" i="26"/>
  <c r="E41" i="26"/>
  <c r="E40" i="26"/>
  <c r="E39" i="26"/>
  <c r="E38" i="26"/>
  <c r="E37" i="26"/>
  <c r="E36" i="26"/>
  <c r="E35" i="26"/>
  <c r="E34" i="26"/>
  <c r="E33" i="26"/>
  <c r="E32" i="26"/>
  <c r="E31" i="26"/>
  <c r="E30" i="26"/>
  <c r="E29" i="26"/>
  <c r="E28" i="26"/>
  <c r="E27" i="26"/>
  <c r="E26" i="26"/>
  <c r="E25" i="26"/>
  <c r="E24" i="26"/>
  <c r="E23" i="26"/>
  <c r="E22" i="26"/>
  <c r="E21" i="26"/>
  <c r="E20" i="26"/>
  <c r="E19" i="26"/>
  <c r="E18" i="26"/>
  <c r="E17" i="26"/>
  <c r="E16" i="26"/>
  <c r="E15" i="26"/>
  <c r="E14" i="26"/>
  <c r="E13" i="26"/>
  <c r="E12" i="26"/>
  <c r="E11" i="26"/>
  <c r="E10" i="26"/>
  <c r="E9" i="26"/>
  <c r="E8" i="26"/>
  <c r="E7" i="26"/>
  <c r="B7" i="26"/>
  <c r="B8" i="26" s="1"/>
  <c r="B9" i="26" s="1"/>
  <c r="B10" i="26" s="1"/>
  <c r="B11" i="26" s="1"/>
  <c r="B12" i="26" s="1"/>
  <c r="B13" i="26" s="1"/>
  <c r="B14" i="26" s="1"/>
  <c r="B15" i="26" s="1"/>
  <c r="B16" i="26" s="1"/>
  <c r="B17" i="26" s="1"/>
  <c r="B18" i="26" s="1"/>
  <c r="B19" i="26" s="1"/>
  <c r="B20" i="26" s="1"/>
  <c r="B21" i="26" s="1"/>
  <c r="B22" i="26" s="1"/>
  <c r="B23" i="26" s="1"/>
  <c r="B24" i="26" s="1"/>
  <c r="B25" i="26" s="1"/>
  <c r="B26" i="26" s="1"/>
  <c r="B27" i="26" s="1"/>
  <c r="B28" i="26" s="1"/>
  <c r="B29" i="26" s="1"/>
  <c r="B30" i="26" s="1"/>
  <c r="B31" i="26" s="1"/>
  <c r="B32" i="26" s="1"/>
  <c r="B33" i="26" s="1"/>
  <c r="B34" i="26" s="1"/>
  <c r="B35" i="26" s="1"/>
  <c r="B36" i="26" s="1"/>
  <c r="B37" i="26" s="1"/>
  <c r="B38" i="26" s="1"/>
  <c r="B39" i="26" s="1"/>
  <c r="B40" i="26" s="1"/>
  <c r="B41" i="26" s="1"/>
  <c r="B42" i="26" s="1"/>
  <c r="B43" i="26" s="1"/>
  <c r="B44" i="26" s="1"/>
  <c r="B45" i="26" s="1"/>
  <c r="B46" i="26" s="1"/>
  <c r="E6" i="26"/>
  <c r="D81" i="24" l="1"/>
  <c r="H81" i="24"/>
  <c r="E63" i="24"/>
  <c r="H63" i="24" s="1"/>
  <c r="H74" i="24"/>
  <c r="H47" i="25"/>
  <c r="H46" i="25"/>
  <c r="H43" i="25"/>
  <c r="H40" i="25"/>
  <c r="H38" i="25"/>
  <c r="H31" i="25"/>
  <c r="H30" i="25"/>
  <c r="E28" i="25"/>
  <c r="H27" i="25"/>
  <c r="H26" i="25"/>
  <c r="H25" i="25"/>
  <c r="H22" i="25"/>
  <c r="E20" i="25"/>
  <c r="E21" i="25" s="1"/>
  <c r="E19" i="25"/>
  <c r="H18" i="25"/>
  <c r="H17" i="25"/>
  <c r="E16" i="25"/>
  <c r="E53" i="25" s="1"/>
  <c r="H53" i="25" s="1"/>
  <c r="H15" i="25"/>
  <c r="H14" i="25"/>
  <c r="H28" i="25" l="1"/>
  <c r="E29" i="25"/>
  <c r="E33" i="25"/>
  <c r="E35" i="25" s="1"/>
  <c r="E42" i="25" s="1"/>
  <c r="H42" i="25" s="1"/>
  <c r="H16" i="25"/>
  <c r="H20" i="25"/>
  <c r="H19" i="25"/>
  <c r="E23" i="25"/>
  <c r="E32" i="25"/>
  <c r="H35" i="25" l="1"/>
  <c r="H29" i="25"/>
  <c r="E36" i="25"/>
  <c r="E37" i="25" s="1"/>
  <c r="H33" i="25"/>
  <c r="E39" i="25"/>
  <c r="E24" i="25"/>
  <c r="H32" i="25"/>
  <c r="H21" i="25"/>
  <c r="E51" i="25" l="1"/>
  <c r="E43" i="18"/>
  <c r="H36" i="25"/>
  <c r="H23" i="25"/>
  <c r="E48" i="25"/>
  <c r="H37" i="25"/>
  <c r="E41" i="25"/>
  <c r="H39" i="25"/>
  <c r="E28" i="18" l="1"/>
  <c r="E5" i="18" s="1"/>
  <c r="H43" i="18"/>
  <c r="E29" i="18"/>
  <c r="H29" i="18" s="1"/>
  <c r="E17" i="18"/>
  <c r="H28" i="18"/>
  <c r="F59" i="25"/>
  <c r="G128" i="24" s="1"/>
  <c r="H51" i="25"/>
  <c r="D51" i="18"/>
  <c r="G51" i="18" s="1"/>
  <c r="E48" i="18"/>
  <c r="H48" i="18" s="1"/>
  <c r="H24" i="25"/>
  <c r="E44" i="25"/>
  <c r="H41" i="25"/>
  <c r="H48" i="25"/>
  <c r="H59" i="25" l="1"/>
  <c r="D52" i="18"/>
  <c r="H17" i="18"/>
  <c r="D35" i="18"/>
  <c r="G35" i="18" s="1"/>
  <c r="E51" i="18"/>
  <c r="H51" i="18" s="1"/>
  <c r="E59" i="25"/>
  <c r="D59" i="25"/>
  <c r="H44" i="25"/>
  <c r="E45" i="25"/>
  <c r="D53" i="18" l="1"/>
  <c r="G52" i="18"/>
  <c r="D36" i="18"/>
  <c r="G36" i="18" s="1"/>
  <c r="H5" i="18"/>
  <c r="E21" i="18"/>
  <c r="H21" i="18" s="1"/>
  <c r="E20" i="18"/>
  <c r="E52" i="18"/>
  <c r="E35" i="18"/>
  <c r="E49" i="25"/>
  <c r="H45" i="25"/>
  <c r="H52" i="18" l="1"/>
  <c r="D54" i="18"/>
  <c r="G53" i="18"/>
  <c r="H35" i="18"/>
  <c r="E22" i="18"/>
  <c r="H20" i="18"/>
  <c r="D37" i="18"/>
  <c r="G37" i="18" s="1"/>
  <c r="E52" i="25"/>
  <c r="H52" i="25" s="1"/>
  <c r="E53" i="18"/>
  <c r="E9" i="18"/>
  <c r="H9" i="18" s="1"/>
  <c r="E8" i="18"/>
  <c r="E36" i="18"/>
  <c r="H36" i="18" s="1"/>
  <c r="E61" i="24"/>
  <c r="E35" i="24" s="1"/>
  <c r="H49" i="25"/>
  <c r="D55" i="18" l="1"/>
  <c r="G54" i="18"/>
  <c r="H53" i="18"/>
  <c r="E37" i="18"/>
  <c r="H37" i="18" s="1"/>
  <c r="E10" i="18"/>
  <c r="H10" i="18" s="1"/>
  <c r="H8" i="18"/>
  <c r="E24" i="18"/>
  <c r="H22" i="18"/>
  <c r="D38" i="18"/>
  <c r="G38" i="18" s="1"/>
  <c r="E41" i="24"/>
  <c r="E42" i="24" s="1"/>
  <c r="H61" i="24"/>
  <c r="G35" i="24"/>
  <c r="G42" i="24"/>
  <c r="E54" i="18"/>
  <c r="E13" i="18"/>
  <c r="H13" i="18" s="1"/>
  <c r="E14" i="18"/>
  <c r="H14" i="18" s="1"/>
  <c r="E62" i="24"/>
  <c r="E98" i="24"/>
  <c r="H54" i="18" l="1"/>
  <c r="D56" i="18"/>
  <c r="G55" i="18"/>
  <c r="E12" i="18"/>
  <c r="H12" i="18" s="1"/>
  <c r="H24" i="18"/>
  <c r="E15" i="18"/>
  <c r="H15" i="18" s="1"/>
  <c r="E38" i="18"/>
  <c r="D39" i="18"/>
  <c r="G39" i="18" s="1"/>
  <c r="E128" i="24"/>
  <c r="H128" i="24" s="1"/>
  <c r="H98" i="24"/>
  <c r="H41" i="24"/>
  <c r="H42" i="24"/>
  <c r="G46" i="24"/>
  <c r="G92" i="24"/>
  <c r="H35" i="24"/>
  <c r="G62" i="24"/>
  <c r="G62" i="25" s="1"/>
  <c r="E68" i="24"/>
  <c r="E46" i="24"/>
  <c r="E47" i="24" s="1"/>
  <c r="E85" i="24" s="1"/>
  <c r="E64" i="24" s="1"/>
  <c r="E92" i="24"/>
  <c r="E93" i="24" s="1"/>
  <c r="E65" i="24" s="1"/>
  <c r="E62" i="25"/>
  <c r="E55" i="18"/>
  <c r="E99" i="24"/>
  <c r="H99" i="24" s="1"/>
  <c r="E102" i="24"/>
  <c r="H102" i="24" s="1"/>
  <c r="E105" i="24"/>
  <c r="H105" i="24" s="1"/>
  <c r="E3" i="18" l="1"/>
  <c r="H3" i="18" s="1"/>
  <c r="H55" i="18"/>
  <c r="D57" i="18"/>
  <c r="G56" i="18"/>
  <c r="H56" i="18" s="1"/>
  <c r="H62" i="25"/>
  <c r="H38" i="18"/>
  <c r="E39" i="18"/>
  <c r="D40" i="18"/>
  <c r="G40" i="18" s="1"/>
  <c r="G47" i="24"/>
  <c r="H46" i="24"/>
  <c r="G93" i="24"/>
  <c r="H92" i="24"/>
  <c r="G68" i="24"/>
  <c r="H68" i="24" s="1"/>
  <c r="H62" i="24"/>
  <c r="E57" i="24"/>
  <c r="E58" i="24" s="1"/>
  <c r="D68" i="24"/>
  <c r="E66" i="24"/>
  <c r="D62" i="25"/>
  <c r="E56" i="18"/>
  <c r="E16" i="24"/>
  <c r="H16" i="24" s="1"/>
  <c r="E18" i="24"/>
  <c r="E123" i="24"/>
  <c r="H123" i="24" s="1"/>
  <c r="D58" i="18" l="1"/>
  <c r="G57" i="18"/>
  <c r="H39" i="18"/>
  <c r="E40" i="18"/>
  <c r="H40" i="18" s="1"/>
  <c r="D41" i="18"/>
  <c r="G41" i="18" s="1"/>
  <c r="G65" i="24"/>
  <c r="H65" i="24" s="1"/>
  <c r="H93" i="24"/>
  <c r="E121" i="24"/>
  <c r="E122" i="24" s="1"/>
  <c r="H122" i="24" s="1"/>
  <c r="H18" i="24"/>
  <c r="H47" i="24"/>
  <c r="G85" i="24"/>
  <c r="G57" i="24"/>
  <c r="D66" i="24"/>
  <c r="E67" i="24"/>
  <c r="E57" i="18"/>
  <c r="E111" i="24"/>
  <c r="H57" i="18" l="1"/>
  <c r="D59" i="18"/>
  <c r="G58" i="18"/>
  <c r="E41" i="18"/>
  <c r="E25" i="18" s="1"/>
  <c r="G58" i="24"/>
  <c r="H58" i="24" s="1"/>
  <c r="H57" i="24"/>
  <c r="G64" i="24"/>
  <c r="H85" i="24"/>
  <c r="D19" i="29"/>
  <c r="D21" i="29" s="1"/>
  <c r="H121" i="24"/>
  <c r="D14" i="29"/>
  <c r="D18" i="29" s="1"/>
  <c r="H111" i="24"/>
  <c r="E58" i="18"/>
  <c r="E112" i="24"/>
  <c r="D60" i="18" l="1"/>
  <c r="G59" i="18"/>
  <c r="H58" i="18"/>
  <c r="H41" i="18"/>
  <c r="D22" i="29"/>
  <c r="D26" i="29" s="1"/>
  <c r="C30" i="29" s="1"/>
  <c r="G25" i="18"/>
  <c r="G66" i="24"/>
  <c r="H64" i="24"/>
  <c r="E115" i="24"/>
  <c r="H115" i="24" s="1"/>
  <c r="H112" i="24"/>
  <c r="D46" i="29"/>
  <c r="D52" i="29" s="1"/>
  <c r="D53" i="29" s="1"/>
  <c r="D54" i="29" s="1"/>
  <c r="E59" i="18"/>
  <c r="E125" i="24"/>
  <c r="H125" i="24" s="1"/>
  <c r="H59" i="18" l="1"/>
  <c r="D61" i="18"/>
  <c r="G60" i="18"/>
  <c r="H25" i="18"/>
  <c r="E20" i="24"/>
  <c r="D21" i="24" s="1"/>
  <c r="D115" i="24"/>
  <c r="D20" i="24" s="1"/>
  <c r="H66" i="24"/>
  <c r="G67" i="24"/>
  <c r="H67" i="24" s="1"/>
  <c r="E60" i="18"/>
  <c r="E126" i="24"/>
  <c r="H60" i="18" l="1"/>
  <c r="D62" i="18"/>
  <c r="G61" i="18"/>
  <c r="H20" i="24"/>
  <c r="E23" i="24"/>
  <c r="H23" i="24" s="1"/>
  <c r="H126" i="24"/>
  <c r="E127" i="24"/>
  <c r="H127" i="24" s="1"/>
  <c r="E61" i="18"/>
  <c r="H61" i="18" l="1"/>
  <c r="D63" i="18"/>
  <c r="G62" i="18"/>
  <c r="E62" i="18"/>
  <c r="H62" i="18" l="1"/>
  <c r="D64" i="18"/>
  <c r="G63" i="18"/>
  <c r="E63" i="18"/>
  <c r="H63" i="18" l="1"/>
  <c r="D65" i="18"/>
  <c r="G64" i="18"/>
  <c r="E64" i="18"/>
  <c r="H64" i="18" l="1"/>
  <c r="D66" i="18"/>
  <c r="G65" i="18"/>
  <c r="E65" i="18"/>
  <c r="E103" i="24"/>
  <c r="H103" i="24" s="1"/>
  <c r="H65" i="18" l="1"/>
  <c r="D67" i="18"/>
  <c r="G66" i="18"/>
  <c r="E66" i="18"/>
  <c r="H66" i="18" l="1"/>
  <c r="D68" i="18"/>
  <c r="G67" i="18"/>
  <c r="E68" i="18"/>
  <c r="E67" i="18"/>
  <c r="H67" i="18" l="1"/>
  <c r="D69" i="18"/>
  <c r="G68" i="18"/>
  <c r="H68" i="18" s="1"/>
  <c r="G69" i="18" l="1"/>
  <c r="D70" i="18"/>
  <c r="E69" i="18"/>
  <c r="F15" i="5"/>
  <c r="G15" i="5" s="1"/>
  <c r="F14" i="5"/>
  <c r="F13" i="5"/>
  <c r="F12" i="5"/>
  <c r="F11" i="5"/>
  <c r="F10" i="5"/>
  <c r="F9" i="5"/>
  <c r="F8" i="5"/>
  <c r="F7" i="5"/>
  <c r="F6" i="5"/>
  <c r="A15" i="5"/>
  <c r="B15" i="5" s="1"/>
  <c r="G70" i="18" l="1"/>
  <c r="E70" i="18"/>
  <c r="D71" i="18"/>
  <c r="H69" i="18"/>
  <c r="E117" i="24"/>
  <c r="G71" i="18" l="1"/>
  <c r="D72" i="18"/>
  <c r="E71" i="18"/>
  <c r="H70" i="18"/>
  <c r="D117" i="24"/>
  <c r="H117" i="24"/>
  <c r="D70" i="1"/>
  <c r="D93" i="1"/>
  <c r="D95" i="1" s="1"/>
  <c r="G72" i="18" l="1"/>
  <c r="E72" i="18"/>
  <c r="D73" i="18"/>
  <c r="H71" i="18"/>
  <c r="D105" i="1"/>
  <c r="D121" i="1" s="1"/>
  <c r="D123" i="1" s="1"/>
  <c r="D124" i="1" s="1"/>
  <c r="G73" i="18" l="1"/>
  <c r="E73" i="18"/>
  <c r="D74" i="18"/>
  <c r="H72" i="18"/>
  <c r="D135" i="1"/>
  <c r="G74" i="18" l="1"/>
  <c r="E74" i="18"/>
  <c r="D75" i="18"/>
  <c r="H73" i="18"/>
  <c r="G14" i="5"/>
  <c r="A14" i="5"/>
  <c r="B14" i="5" s="1"/>
  <c r="G13" i="5"/>
  <c r="A13" i="5"/>
  <c r="B13" i="5" s="1"/>
  <c r="G12" i="5"/>
  <c r="A12" i="5"/>
  <c r="B12" i="5" s="1"/>
  <c r="G11" i="5"/>
  <c r="A11" i="5"/>
  <c r="B11" i="5" s="1"/>
  <c r="G10" i="5"/>
  <c r="A10" i="5"/>
  <c r="B10" i="5" s="1"/>
  <c r="G9" i="5"/>
  <c r="A9" i="5"/>
  <c r="B9" i="5" s="1"/>
  <c r="G8" i="5"/>
  <c r="A8" i="5"/>
  <c r="B8" i="5" s="1"/>
  <c r="G7" i="5"/>
  <c r="A7" i="5"/>
  <c r="B7" i="5" s="1"/>
  <c r="G6" i="5"/>
  <c r="A6" i="5"/>
  <c r="B6" i="5" s="1"/>
  <c r="G75" i="18" l="1"/>
  <c r="D76" i="18"/>
  <c r="E75" i="18"/>
  <c r="H74" i="18"/>
  <c r="D247" i="1"/>
  <c r="F247" i="1" s="1"/>
  <c r="I250" i="1" s="1"/>
  <c r="K250" i="1" s="1"/>
  <c r="D262" i="1"/>
  <c r="D263" i="1"/>
  <c r="D259" i="1"/>
  <c r="D30" i="1"/>
  <c r="D29" i="1"/>
  <c r="D199" i="1"/>
  <c r="D240" i="1"/>
  <c r="D242" i="1" s="1"/>
  <c r="D243" i="1" s="1"/>
  <c r="D233" i="1"/>
  <c r="D234" i="1" s="1"/>
  <c r="D214" i="1"/>
  <c r="D207" i="1"/>
  <c r="D211" i="1"/>
  <c r="E87" i="1"/>
  <c r="D85" i="1"/>
  <c r="G76" i="18" l="1"/>
  <c r="D77" i="18"/>
  <c r="E76" i="18"/>
  <c r="H75" i="18"/>
  <c r="D249" i="1"/>
  <c r="H242" i="1"/>
  <c r="I248" i="1"/>
  <c r="K248" i="1" s="1"/>
  <c r="I249" i="1"/>
  <c r="K249" i="1" s="1"/>
  <c r="D235" i="1"/>
  <c r="F249" i="1" s="1"/>
  <c r="D208" i="1"/>
  <c r="D210" i="1" s="1"/>
  <c r="G77" i="18" l="1"/>
  <c r="E77" i="18"/>
  <c r="D78" i="18"/>
  <c r="H76" i="18"/>
  <c r="D209" i="1"/>
  <c r="D201" i="1"/>
  <c r="G78" i="18" l="1"/>
  <c r="E78" i="18"/>
  <c r="D79" i="18"/>
  <c r="H77" i="18"/>
  <c r="D16" i="1"/>
  <c r="D180" i="1"/>
  <c r="D52" i="1"/>
  <c r="D10" i="1"/>
  <c r="D286" i="1"/>
  <c r="D285" i="1"/>
  <c r="D283" i="1"/>
  <c r="D284" i="1"/>
  <c r="H257" i="1"/>
  <c r="D278" i="1"/>
  <c r="D269" i="1"/>
  <c r="D270" i="1" s="1"/>
  <c r="D261" i="1"/>
  <c r="D265" i="1" s="1"/>
  <c r="D257" i="1"/>
  <c r="D254" i="1"/>
  <c r="D20" i="1"/>
  <c r="D67" i="1"/>
  <c r="D87" i="1" s="1"/>
  <c r="D61" i="1"/>
  <c r="D215" i="1"/>
  <c r="D28" i="1"/>
  <c r="D183" i="1"/>
  <c r="D66" i="1"/>
  <c r="D65" i="1"/>
  <c r="D62" i="1"/>
  <c r="D59" i="1"/>
  <c r="F31" i="1"/>
  <c r="D25" i="1"/>
  <c r="D24" i="1"/>
  <c r="D21" i="1"/>
  <c r="G79" i="18" l="1"/>
  <c r="D80" i="18"/>
  <c r="E79" i="18"/>
  <c r="H78" i="18"/>
  <c r="D26" i="1"/>
  <c r="D289" i="1"/>
  <c r="D32" i="1"/>
  <c r="H31" i="1" s="1"/>
  <c r="D219" i="1"/>
  <c r="D266" i="1"/>
  <c r="H265" i="1"/>
  <c r="D245" i="1"/>
  <c r="D248" i="1" s="1"/>
  <c r="D260" i="1"/>
  <c r="G96" i="1"/>
  <c r="D287" i="1"/>
  <c r="D288" i="1" s="1"/>
  <c r="D290" i="1" s="1"/>
  <c r="D272" i="1"/>
  <c r="D273" i="1" s="1"/>
  <c r="D277" i="1"/>
  <c r="D255" i="1"/>
  <c r="D68" i="1"/>
  <c r="D71" i="1" s="1"/>
  <c r="D227" i="1"/>
  <c r="D185" i="1"/>
  <c r="D45" i="1"/>
  <c r="D157" i="1" s="1"/>
  <c r="D50" i="1"/>
  <c r="D4" i="1"/>
  <c r="D14" i="1"/>
  <c r="D305" i="1"/>
  <c r="D306" i="1" s="1"/>
  <c r="G178" i="1"/>
  <c r="D162" i="1"/>
  <c r="F34" i="1"/>
  <c r="G20" i="3"/>
  <c r="D8" i="3" s="1"/>
  <c r="G19" i="3"/>
  <c r="D7" i="3" s="1"/>
  <c r="G17" i="3"/>
  <c r="D5" i="3" s="1"/>
  <c r="B14" i="3"/>
  <c r="B15" i="3" s="1"/>
  <c r="B16" i="3" s="1"/>
  <c r="B17" i="3" s="1"/>
  <c r="D9" i="3"/>
  <c r="D6" i="3"/>
  <c r="E80" i="18" l="1"/>
  <c r="E42" i="18" s="1"/>
  <c r="E2" i="18" s="1"/>
  <c r="E55" i="25" s="1"/>
  <c r="E56" i="25" s="1"/>
  <c r="E61" i="25" s="1"/>
  <c r="E63" i="25" s="1"/>
  <c r="E64" i="25" s="1"/>
  <c r="G80" i="18"/>
  <c r="H79" i="18"/>
  <c r="D279" i="1"/>
  <c r="D280" i="1" s="1"/>
  <c r="D168" i="1"/>
  <c r="B18" i="3"/>
  <c r="B19" i="3" s="1"/>
  <c r="B20" i="3" s="1"/>
  <c r="B21" i="3" s="1"/>
  <c r="B22" i="3" s="1"/>
  <c r="B23" i="3" s="1"/>
  <c r="B24" i="3" s="1"/>
  <c r="D10" i="3" s="1"/>
  <c r="F248" i="1"/>
  <c r="D250" i="1"/>
  <c r="D37" i="1"/>
  <c r="D102" i="1" s="1"/>
  <c r="D83" i="1"/>
  <c r="D53" i="1"/>
  <c r="D223" i="1"/>
  <c r="D225" i="1" s="1"/>
  <c r="D281" i="1"/>
  <c r="D117" i="1"/>
  <c r="D74" i="1"/>
  <c r="D17" i="1"/>
  <c r="D311" i="1"/>
  <c r="D308" i="1" s="1"/>
  <c r="D313" i="1" s="1"/>
  <c r="D158" i="1" s="1"/>
  <c r="D307" i="1"/>
  <c r="D165" i="1"/>
  <c r="H80" i="18" l="1"/>
  <c r="G42" i="18"/>
  <c r="G2" i="18" s="1"/>
  <c r="D79" i="1"/>
  <c r="D18" i="1"/>
  <c r="D86" i="1"/>
  <c r="D88" i="1"/>
  <c r="D228" i="1"/>
  <c r="D236" i="1" s="1"/>
  <c r="D291" i="1"/>
  <c r="D292" i="1" s="1"/>
  <c r="D72" i="1"/>
  <c r="D36" i="1"/>
  <c r="D33" i="1"/>
  <c r="G55" i="25" l="1"/>
  <c r="H2" i="18"/>
  <c r="G240" i="1"/>
  <c r="D38" i="1"/>
  <c r="D43" i="1" s="1"/>
  <c r="D34" i="1"/>
  <c r="D264" i="1" s="1"/>
  <c r="D229" i="1"/>
  <c r="D230" i="1" s="1"/>
  <c r="D231" i="1" s="1"/>
  <c r="D46" i="1"/>
  <c r="D47" i="1" s="1"/>
  <c r="D89" i="1" s="1"/>
  <c r="D187" i="1"/>
  <c r="D54" i="1"/>
  <c r="D55" i="1" s="1"/>
  <c r="D39" i="1"/>
  <c r="D11" i="1" s="1"/>
  <c r="G56" i="25" l="1"/>
  <c r="H55" i="25"/>
  <c r="D92" i="1"/>
  <c r="D125" i="1" s="1"/>
  <c r="D127" i="1" s="1"/>
  <c r="D129" i="1"/>
  <c r="D98" i="1"/>
  <c r="D188" i="1"/>
  <c r="F187" i="1"/>
  <c r="G61" i="25" l="1"/>
  <c r="H56" i="25"/>
  <c r="D96" i="1"/>
  <c r="D131" i="1"/>
  <c r="D137" i="1" l="1"/>
  <c r="D132" i="1"/>
  <c r="D133" i="1"/>
  <c r="D103" i="1"/>
  <c r="D104" i="1" s="1"/>
  <c r="D107" i="1"/>
  <c r="D108" i="1" s="1"/>
  <c r="H108" i="1" s="1"/>
  <c r="D143" i="1" l="1"/>
  <c r="D140" i="1"/>
  <c r="D139" i="1" s="1"/>
  <c r="D109" i="1"/>
  <c r="D110" i="1" s="1"/>
  <c r="D106" i="1"/>
  <c r="D144" i="1" l="1"/>
  <c r="D145" i="1" s="1"/>
  <c r="D147" i="1" s="1"/>
  <c r="D148" i="1" s="1"/>
  <c r="D113" i="1"/>
  <c r="D114" i="1" s="1"/>
  <c r="D111" i="1"/>
  <c r="D112" i="1" s="1"/>
  <c r="D115" i="1" l="1"/>
  <c r="D116" i="1" s="1"/>
  <c r="D184" i="1"/>
  <c r="D190" i="1" s="1"/>
  <c r="D118" i="1" l="1"/>
  <c r="D119" i="1" s="1"/>
  <c r="D75" i="1" s="1"/>
  <c r="D77" i="1" l="1"/>
  <c r="D76" i="1"/>
  <c r="D155" i="1" s="1"/>
  <c r="D159" i="1" s="1"/>
  <c r="D163" i="1" s="1"/>
  <c r="D164" i="1" s="1"/>
  <c r="D166" i="1" s="1"/>
  <c r="D173" i="1" l="1"/>
  <c r="D175" i="1" s="1"/>
  <c r="F175" i="1" s="1"/>
  <c r="D167" i="1"/>
  <c r="D169" i="1" l="1"/>
  <c r="D191" i="1" s="1"/>
  <c r="I191" i="1" s="1"/>
  <c r="H175" i="1"/>
  <c r="D178" i="1"/>
  <c r="D177" i="1"/>
  <c r="D203" i="1" l="1"/>
  <c r="D202" i="1"/>
  <c r="D192" i="1"/>
  <c r="D149" i="1" s="1"/>
  <c r="D150" i="1" s="1"/>
  <c r="D151" i="1" s="1"/>
  <c r="D194" i="1"/>
  <c r="G155" i="1" s="1"/>
  <c r="D80" i="1" l="1"/>
  <c r="D81" i="1" s="1"/>
  <c r="D84" i="1" s="1"/>
  <c r="E106" i="24" l="1"/>
  <c r="H106" i="24" s="1"/>
  <c r="E107" i="24" l="1"/>
  <c r="E109" i="24"/>
  <c r="D109" i="24" l="1"/>
  <c r="H109" i="24"/>
  <c r="D107" i="24"/>
  <c r="H107" i="24"/>
  <c r="G63" i="25" l="1"/>
  <c r="H61" i="25"/>
  <c r="G64" i="25" l="1"/>
  <c r="H64" i="25" s="1"/>
  <c r="H63" i="25"/>
  <c r="E26" i="31"/>
  <c r="E90" i="24" s="1"/>
  <c r="D90" i="24" s="1"/>
  <c r="G26" i="31"/>
  <c r="H26" i="31" l="1"/>
  <c r="G90" i="24"/>
  <c r="H90" i="24" s="1"/>
</calcChain>
</file>

<file path=xl/sharedStrings.xml><?xml version="1.0" encoding="utf-8"?>
<sst xmlns="http://schemas.openxmlformats.org/spreadsheetml/2006/main" count="2044" uniqueCount="1302">
  <si>
    <t>PROGRAMACION DE SBR MODIFICADO CON MICROSECUENCIADO Y FLOTADOR ELECTRICO</t>
  </si>
  <si>
    <t>ETAPA</t>
  </si>
  <si>
    <t>TIEMPO</t>
  </si>
  <si>
    <t>Horas</t>
  </si>
  <si>
    <t>Aireación</t>
  </si>
  <si>
    <t>Bombeo a Tanque Aerobio</t>
  </si>
  <si>
    <t>Decantación  de Lecho</t>
  </si>
  <si>
    <t>Filtración Mínima</t>
  </si>
  <si>
    <t>Drenaje de Lodos</t>
  </si>
  <si>
    <t>TOTAL</t>
  </si>
  <si>
    <t>PASO DE SECUENCIA</t>
  </si>
  <si>
    <t>TIEMPO AL INICIO (horas)</t>
  </si>
  <si>
    <t>ACCION</t>
  </si>
  <si>
    <t>CONDICICION DEL INICIO</t>
  </si>
  <si>
    <t>MECANISMO</t>
  </si>
  <si>
    <t>TIEMPO A CONTINUACION (horas)</t>
  </si>
  <si>
    <t>SALIDA</t>
  </si>
  <si>
    <t>ENTRADA</t>
  </si>
  <si>
    <t>Inicio</t>
  </si>
  <si>
    <t>Encendido Manual o Automático de Flotador</t>
  </si>
  <si>
    <t>Tanque  Aerobio desocupado y Tanque de Entrada llenándose</t>
  </si>
  <si>
    <t>A</t>
  </si>
  <si>
    <t>Encendido del Secuenciador</t>
  </si>
  <si>
    <t xml:space="preserve">Filtración </t>
  </si>
  <si>
    <t>Tiempo del Timmer del Flotador y Nivel Suficiente en Tanque de Entrada</t>
  </si>
  <si>
    <t>Interruptor de Secuenciador accionado por Flotador</t>
  </si>
  <si>
    <t>B1</t>
  </si>
  <si>
    <t>Cerrar Valvula de Salida de Filtrado</t>
  </si>
  <si>
    <t>Ninguna</t>
  </si>
  <si>
    <t>Señal de Flotador de Tanque Anaerobio</t>
  </si>
  <si>
    <t>Válvula Neumática Solenoide de Filtrado N.A.</t>
  </si>
  <si>
    <t>B2</t>
  </si>
  <si>
    <t>Prender Soplador y Apagar Flotador Electrico en Tanque de Entrada</t>
  </si>
  <si>
    <t>Tiempo del Paso</t>
  </si>
  <si>
    <t>Interruptor Encendido Soplador</t>
  </si>
  <si>
    <t>B3</t>
  </si>
  <si>
    <t>Prender Bomba y Dosificador de Coagulante</t>
  </si>
  <si>
    <t>Aireación y Llenado</t>
  </si>
  <si>
    <t>Interruptor Encendido Bomba</t>
  </si>
  <si>
    <t>B4</t>
  </si>
  <si>
    <t>Apagado de Bomba</t>
  </si>
  <si>
    <t>Interruptor de Apagado de Bomba</t>
  </si>
  <si>
    <t>B5</t>
  </si>
  <si>
    <t>Apagar Soplador</t>
  </si>
  <si>
    <t>Decantación</t>
  </si>
  <si>
    <t>Interruptor Apagado Soplador</t>
  </si>
  <si>
    <t>B6</t>
  </si>
  <si>
    <t>Abrir Valvula de Salida de Filtrado</t>
  </si>
  <si>
    <t>Válvula Neumática Solenoide de Filtrado</t>
  </si>
  <si>
    <t>B7</t>
  </si>
  <si>
    <t>Abrir Valvula de Salida de Lodos</t>
  </si>
  <si>
    <t>Filtración y Purga de Lodos</t>
  </si>
  <si>
    <t>Válvula Neumática Solenoide de Lodos N.C.</t>
  </si>
  <si>
    <t>B8</t>
  </si>
  <si>
    <t>Cerrar Valvula de Salida de Lodos</t>
  </si>
  <si>
    <t>Válvula Neumática Solenoide de Lodos</t>
  </si>
  <si>
    <t>B9</t>
  </si>
  <si>
    <t xml:space="preserve">Encender Timmer de Flotador en Tanque de Entrada y Apagar Secuenciador </t>
  </si>
  <si>
    <t>Interruptor de Secuenciador</t>
  </si>
  <si>
    <t>Final Ciclo</t>
  </si>
  <si>
    <t>CONDICION DE INICIO:</t>
  </si>
  <si>
    <t>Encendido de Secuenciador con Señal de Flotador Electrico en Tanque de Entrada, que cuenta con timmer e interruptor manual</t>
  </si>
  <si>
    <t>PARAMETROS DE DISEÑO</t>
  </si>
  <si>
    <t>m3/d</t>
  </si>
  <si>
    <t>Lps</t>
  </si>
  <si>
    <t>Ciclo de Operación</t>
  </si>
  <si>
    <t>TA</t>
  </si>
  <si>
    <t>h</t>
  </si>
  <si>
    <t>Tiempo de Decantación y Filtración</t>
  </si>
  <si>
    <t>TD</t>
  </si>
  <si>
    <t>?</t>
  </si>
  <si>
    <t>TI</t>
  </si>
  <si>
    <t>Tiempo de Llenado</t>
  </si>
  <si>
    <t>TF</t>
  </si>
  <si>
    <t>Tiempo de Ciclo</t>
  </si>
  <si>
    <t>TC</t>
  </si>
  <si>
    <t>3 h</t>
  </si>
  <si>
    <t>No de Ciclos Diario</t>
  </si>
  <si>
    <t>Volumen por Ciclo</t>
  </si>
  <si>
    <t>V</t>
  </si>
  <si>
    <t>m3</t>
  </si>
  <si>
    <t>ajustar</t>
  </si>
  <si>
    <t>Comp</t>
  </si>
  <si>
    <t>Volumen de Agua por Ciclo Requerida</t>
  </si>
  <si>
    <t>m2</t>
  </si>
  <si>
    <t>m</t>
  </si>
  <si>
    <t>Variación en Profundidad de Agua</t>
  </si>
  <si>
    <t>Caudal de Llenado</t>
  </si>
  <si>
    <t>Profundidad de Medio Granular</t>
  </si>
  <si>
    <t>Profunidad Mínima sobre Lodos</t>
  </si>
  <si>
    <t>Profundidad de Retorno de Lodos</t>
  </si>
  <si>
    <t>Profundidad de Estanque en Reposo</t>
  </si>
  <si>
    <t>Borde Libre</t>
  </si>
  <si>
    <t>Volumen de Tanda</t>
  </si>
  <si>
    <t>Diámetro</t>
  </si>
  <si>
    <t>mg/L</t>
  </si>
  <si>
    <t>Temperatura</t>
  </si>
  <si>
    <t>1/d</t>
  </si>
  <si>
    <t>t</t>
  </si>
  <si>
    <t>d</t>
  </si>
  <si>
    <t>horas</t>
  </si>
  <si>
    <t>Requerimientos de Oxígeno</t>
  </si>
  <si>
    <t>Ro</t>
  </si>
  <si>
    <t>Kg/d</t>
  </si>
  <si>
    <t>Tasa de Transferencia de Oxígeno de Diseño</t>
  </si>
  <si>
    <t>Determinación de la Producción de Lodos</t>
  </si>
  <si>
    <t>Kg/dia</t>
  </si>
  <si>
    <t>Eficiencia de transferencia de oxígeno del difusor  por pie de profundidad</t>
  </si>
  <si>
    <t>Referencia del fabricante</t>
  </si>
  <si>
    <t xml:space="preserve">Eficiencia de transferencia de oxígeno del difusor </t>
  </si>
  <si>
    <t>Factor Tranferencia de O2 en Condiciones Reales N</t>
  </si>
  <si>
    <t>Mendonca formula 8,1. Vet Tabla inferior</t>
  </si>
  <si>
    <t>Cantidad Oxigeno Bruto Requerido DOb</t>
  </si>
  <si>
    <t>Kg O2/día</t>
  </si>
  <si>
    <t>= DOn/(ETD*N)</t>
  </si>
  <si>
    <t>Densidad del aire al nivel del mar</t>
  </si>
  <si>
    <t>Kg/m3</t>
  </si>
  <si>
    <t>Dato de entrada</t>
  </si>
  <si>
    <t>Cantidad de oxígeno al nivel del mar</t>
  </si>
  <si>
    <t>Contenido de oxígeno al nivel del mar Conc O2</t>
  </si>
  <si>
    <t>Caudal de Aire en condiciones standard</t>
  </si>
  <si>
    <t>m3/Hr</t>
  </si>
  <si>
    <t>= DOb/(24 xConc O2)</t>
  </si>
  <si>
    <t>scfpm</t>
  </si>
  <si>
    <t>Vol Aire Terreno/Vol aire Estándar a 2.550 msnm</t>
  </si>
  <si>
    <t>icfpm</t>
  </si>
  <si>
    <t>unidades</t>
  </si>
  <si>
    <t>cfm</t>
  </si>
  <si>
    <t>Diametro Tuberia Distribución</t>
  </si>
  <si>
    <t>pg</t>
  </si>
  <si>
    <t>Velocidad en Tuberia de Distribución</t>
  </si>
  <si>
    <t>m/s</t>
  </si>
  <si>
    <t>Caudal de Aire por unidad de Area</t>
  </si>
  <si>
    <t>L/s/dm2</t>
  </si>
  <si>
    <t>Ensayo</t>
  </si>
  <si>
    <t>Factor de correcciòn por salinidad y tensión superficial  β</t>
  </si>
  <si>
    <t xml:space="preserve">Pg 269 Mendonca al final </t>
  </si>
  <si>
    <t>Temperatura del agua</t>
  </si>
  <si>
    <t>oC</t>
  </si>
  <si>
    <t>Según caracterizacion</t>
  </si>
  <si>
    <t>Altitud</t>
  </si>
  <si>
    <t>msnm</t>
  </si>
  <si>
    <t>Factor de Transferencia en Condiciones  Estándar No</t>
  </si>
  <si>
    <t xml:space="preserve">Pg 269 Mendonca </t>
  </si>
  <si>
    <t>Factor de Corrección del Solubilidad del Oxígeno Fa</t>
  </si>
  <si>
    <t>Concentración de OD a la salida Cl</t>
  </si>
  <si>
    <t xml:space="preserve">Saturación de O2 en condiciones standard </t>
  </si>
  <si>
    <t>Cst</t>
  </si>
  <si>
    <t>Presion a Nivel del Mar</t>
  </si>
  <si>
    <t>P</t>
  </si>
  <si>
    <t>kPa</t>
  </si>
  <si>
    <t>Factor de Presión</t>
  </si>
  <si>
    <t>Presión en el Sitio</t>
  </si>
  <si>
    <t>mm HG</t>
  </si>
  <si>
    <t>Concentración de Saturación de O2  para T y altitud  C(s, T, H) media</t>
  </si>
  <si>
    <t>C(s, T, H)</t>
  </si>
  <si>
    <t>Presión de Vapor a T oC</t>
  </si>
  <si>
    <t>JAR</t>
  </si>
  <si>
    <t>Pg 1028</t>
  </si>
  <si>
    <t>Ap B</t>
  </si>
  <si>
    <t>Concentración de Saturación de O2  para T y nivel del mar</t>
  </si>
  <si>
    <t>C(s, T, H) media</t>
  </si>
  <si>
    <t>Concentración de Saturación de O2  para T y altitud  H</t>
  </si>
  <si>
    <t>Tabla 8.1</t>
  </si>
  <si>
    <t>Mendonca</t>
  </si>
  <si>
    <t>Concentración a Nivel del Mar</t>
  </si>
  <si>
    <t>ppm</t>
  </si>
  <si>
    <t>Mendonca formula 8,1.</t>
  </si>
  <si>
    <t>Potencia de los Sopladores</t>
  </si>
  <si>
    <t>Profundidad de Difusores</t>
  </si>
  <si>
    <t>Perdidas en Conducción de Aire</t>
  </si>
  <si>
    <t>Cabeza de Presión en Soplador</t>
  </si>
  <si>
    <t>Psi</t>
  </si>
  <si>
    <t>Eficiencia del Soplador</t>
  </si>
  <si>
    <t>Densidad del Aire</t>
  </si>
  <si>
    <t>γ</t>
  </si>
  <si>
    <t>kg/m3</t>
  </si>
  <si>
    <t>Ap. B-1 pg 1738</t>
  </si>
  <si>
    <t>Potencia del Soplador</t>
  </si>
  <si>
    <t>Pw</t>
  </si>
  <si>
    <t>Kw</t>
  </si>
  <si>
    <t>Ec. 5-56 pg 440</t>
  </si>
  <si>
    <t>ME</t>
  </si>
  <si>
    <t>Lps/w</t>
  </si>
  <si>
    <t>HP</t>
  </si>
  <si>
    <t>días</t>
  </si>
  <si>
    <t>Factor de Utilización</t>
  </si>
  <si>
    <t>G</t>
  </si>
  <si>
    <t>1/s</t>
  </si>
  <si>
    <t>5 a 100 1/s</t>
  </si>
  <si>
    <t>AWWA</t>
  </si>
  <si>
    <t>JAR PA pag 95</t>
  </si>
  <si>
    <t>Gradiente de Velocidad</t>
  </si>
  <si>
    <t>Viscosidad Dinámica del Agua</t>
  </si>
  <si>
    <t>µ</t>
  </si>
  <si>
    <t>ME pag 1742</t>
  </si>
  <si>
    <t>Tabla C-1</t>
  </si>
  <si>
    <t>N.s/m2</t>
  </si>
  <si>
    <t>Ancho del Tanque</t>
  </si>
  <si>
    <t>Longitud del Módulo</t>
  </si>
  <si>
    <t>No de Módulos</t>
  </si>
  <si>
    <t>u</t>
  </si>
  <si>
    <t>Largo del Tanque</t>
  </si>
  <si>
    <t>Area Superficie</t>
  </si>
  <si>
    <t>Tiempo de Floculación con Aireación</t>
  </si>
  <si>
    <t>Area Seccional del Tanque</t>
  </si>
  <si>
    <t>Volumen de Agua con Tanque Lleno</t>
  </si>
  <si>
    <t>m3/h</t>
  </si>
  <si>
    <t>Número de Difusores</t>
  </si>
  <si>
    <t>Caudal por Dirfusor</t>
  </si>
  <si>
    <t>ME  Ec. 5-3 pag 348</t>
  </si>
  <si>
    <t>50 a 100 1/s</t>
  </si>
  <si>
    <t>ME Tabla 5-10</t>
  </si>
  <si>
    <t>Tipo de Soplador</t>
  </si>
  <si>
    <t>Linear</t>
  </si>
  <si>
    <t>No de Sopladores</t>
  </si>
  <si>
    <t xml:space="preserve">Rango de Gradiente de Velocidad recomendado </t>
  </si>
  <si>
    <t>Profundidad del Tanque Lleno</t>
  </si>
  <si>
    <t>Volumen Total del Tanque</t>
  </si>
  <si>
    <t xml:space="preserve">Tiempo de Retención Hidráulica </t>
  </si>
  <si>
    <t>Reactor Secuencial</t>
  </si>
  <si>
    <t>Volumen Total de Almacenamiento</t>
  </si>
  <si>
    <t>Tanque Regulador de Entrada</t>
  </si>
  <si>
    <t>min</t>
  </si>
  <si>
    <t>Concentración de Lodos en Purga</t>
  </si>
  <si>
    <t>Volumen de Lodos Diluídos</t>
  </si>
  <si>
    <t>L/dia</t>
  </si>
  <si>
    <t>Tiempo de Bombeo de Lodos</t>
  </si>
  <si>
    <t>h/día</t>
  </si>
  <si>
    <t>Caudal Mínimo de Purga de Lodos</t>
  </si>
  <si>
    <t>Lpm</t>
  </si>
  <si>
    <t>Bomba de Lodos</t>
  </si>
  <si>
    <t>Diafragma Flojet 8 Lpm</t>
  </si>
  <si>
    <t>Tasa de Producción de Lodos Orgánicos</t>
  </si>
  <si>
    <t>Tasa de Producción de Lodos Inorgánicos</t>
  </si>
  <si>
    <t>Calcular</t>
  </si>
  <si>
    <t xml:space="preserve">Remoción de Nitrogeno Amoniacal </t>
  </si>
  <si>
    <t xml:space="preserve">Eficiencia Remoción de Nitrogeno Amoniacal </t>
  </si>
  <si>
    <t>Carga de NH4  afluente</t>
  </si>
  <si>
    <t>Kg NH4/día</t>
  </si>
  <si>
    <t>Carga de NH4  removida</t>
  </si>
  <si>
    <t>kgNH4/día</t>
  </si>
  <si>
    <t>kg DBO/día</t>
  </si>
  <si>
    <t>Remoción de Carga por M3</t>
  </si>
  <si>
    <t>Kg DBO/m3/día</t>
  </si>
  <si>
    <t>KgO2/Kg DBO removida</t>
  </si>
  <si>
    <t>Temperatura Media de Diseño</t>
  </si>
  <si>
    <t>RLS</t>
  </si>
  <si>
    <t>θ</t>
  </si>
  <si>
    <t>Factor de Utilización de Bombeo</t>
  </si>
  <si>
    <t>L/s</t>
  </si>
  <si>
    <t>Ajustar</t>
  </si>
  <si>
    <t xml:space="preserve">m </t>
  </si>
  <si>
    <t>mm</t>
  </si>
  <si>
    <t>Area de Flujo</t>
  </si>
  <si>
    <t>mm2</t>
  </si>
  <si>
    <t>Caudal</t>
  </si>
  <si>
    <t>Velocidad en Tubería</t>
  </si>
  <si>
    <t>T0C</t>
  </si>
  <si>
    <t>Solubilidad del O2 a ToC</t>
  </si>
  <si>
    <t>Cs</t>
  </si>
  <si>
    <t>ME Apendice D</t>
  </si>
  <si>
    <t>Profundidad de aireación por Chorro</t>
  </si>
  <si>
    <t>Volumen de Aireación  por Boquilla</t>
  </si>
  <si>
    <t>Q</t>
  </si>
  <si>
    <t>Velocidad del Agua en la Boquilla</t>
  </si>
  <si>
    <t>v</t>
  </si>
  <si>
    <t>Potencia en la Boquilla</t>
  </si>
  <si>
    <t>5 Turbo</t>
  </si>
  <si>
    <t>Ec. 9</t>
  </si>
  <si>
    <t>Potencia de Aireacion Total</t>
  </si>
  <si>
    <t>cm</t>
  </si>
  <si>
    <t>Relación</t>
  </si>
  <si>
    <t>P/V</t>
  </si>
  <si>
    <t>kW/m3</t>
  </si>
  <si>
    <t>Kla</t>
  </si>
  <si>
    <t>Kla Adoptado</t>
  </si>
  <si>
    <t>1/h</t>
  </si>
  <si>
    <t>SOTR</t>
  </si>
  <si>
    <t>Kg O2/h</t>
  </si>
  <si>
    <t>KlA (1/S) =</t>
  </si>
  <si>
    <t>Efecto de la Boquilla</t>
  </si>
  <si>
    <t>Transferencia de Oxígeno Venturi Sumergido</t>
  </si>
  <si>
    <t>Diametro de la Boquilla</t>
  </si>
  <si>
    <t>KlA Ecuacion 1</t>
  </si>
  <si>
    <t>1/s?</t>
  </si>
  <si>
    <t>KlA Ecuacion 2</t>
  </si>
  <si>
    <t>Kla Ecuacion 3</t>
  </si>
  <si>
    <t>K. Tojo y K. Miyanami. "Oxygen Transfer in Jet Mixers". Chemical Engineering Journal. Netherlands. Vol. 24, 1982</t>
  </si>
  <si>
    <t>Kla Ecuacion Plungin Jet 14 mm</t>
  </si>
  <si>
    <t>2 Turbo</t>
  </si>
  <si>
    <t>Fig 6</t>
  </si>
  <si>
    <t>Altura sobre Valvula</t>
  </si>
  <si>
    <t>Velocidad de Salida</t>
  </si>
  <si>
    <t>Factor de Seguridad</t>
  </si>
  <si>
    <t>Sistema de Bombeo</t>
  </si>
  <si>
    <t>Diametro Tuberia  de Bombeo</t>
  </si>
  <si>
    <t>Velocidad Media en Tubería</t>
  </si>
  <si>
    <t>Diferencia de Altura</t>
  </si>
  <si>
    <t>Total Cabeza</t>
  </si>
  <si>
    <t>Eficiencia de Bombeo</t>
  </si>
  <si>
    <t>Potencia de Bombeo</t>
  </si>
  <si>
    <t>Consumo Diario de Energía</t>
  </si>
  <si>
    <t>Kw-h /dia</t>
  </si>
  <si>
    <t>Tipo de Bomba</t>
  </si>
  <si>
    <t>Area de Biofilm Requerido</t>
  </si>
  <si>
    <t>m2/m3</t>
  </si>
  <si>
    <t>Volumen Requerido en Tanque Aeróbico</t>
  </si>
  <si>
    <t>proporcional a volumenes de tanques</t>
  </si>
  <si>
    <t xml:space="preserve">Carga de NH4 </t>
  </si>
  <si>
    <t>Carga volumetrica de NH4 por m3 de lecho</t>
  </si>
  <si>
    <t>kgNH4m3*/día</t>
  </si>
  <si>
    <t>Carga volumetrica de NH4 por m3 de tanque</t>
  </si>
  <si>
    <t>1 a 2,3 en EBBR</t>
  </si>
  <si>
    <t>Tasa de Aplicación (Base Seca)</t>
  </si>
  <si>
    <t>kg/m2*año</t>
  </si>
  <si>
    <t>Base seca</t>
  </si>
  <si>
    <t>JAR TAR</t>
  </si>
  <si>
    <t>Tabla 26,25 pg 833</t>
  </si>
  <si>
    <t>Tasa de Aplicación (Base Húmeda)</t>
  </si>
  <si>
    <t>L/m2*año</t>
  </si>
  <si>
    <t>mm/día</t>
  </si>
  <si>
    <t>Area de Lecho Requerida</t>
  </si>
  <si>
    <t>Area de Lecho Especificada</t>
  </si>
  <si>
    <t>Concentración DBO de Entrada</t>
  </si>
  <si>
    <t>Kg DBO/L</t>
  </si>
  <si>
    <t>Caudal de Diseño</t>
  </si>
  <si>
    <t>Potencia para Aireación</t>
  </si>
  <si>
    <t>Consumo Medio de Energía Total</t>
  </si>
  <si>
    <t>Biofilm con EPU</t>
  </si>
  <si>
    <t>Altura de Bioportadores en Tanque Aeróbico</t>
  </si>
  <si>
    <t>Area específica de EPU</t>
  </si>
  <si>
    <t>%</t>
  </si>
  <si>
    <t>Costo de EPU</t>
  </si>
  <si>
    <t>$/m3</t>
  </si>
  <si>
    <t>Precio de EPU</t>
  </si>
  <si>
    <t>Carga Orgánica Equivalente Removida en Tanque</t>
  </si>
  <si>
    <t>Carga de DBO Afluente</t>
  </si>
  <si>
    <t>Eficiencia Remoción de DBO</t>
  </si>
  <si>
    <t>Carga de DBO Removida</t>
  </si>
  <si>
    <t>Concentración de Nitrogeno Amoniacal Afluente</t>
  </si>
  <si>
    <t>Concentración de Nitrogeno Amoniacal Efluente</t>
  </si>
  <si>
    <t>kg O2/día</t>
  </si>
  <si>
    <t>Verificar</t>
  </si>
  <si>
    <t>Profundidad de Aireación</t>
  </si>
  <si>
    <t>Viscosidad Cinemática del Agua</t>
  </si>
  <si>
    <t>Nxsg/m2</t>
  </si>
  <si>
    <t>Diametro de la Burbuja</t>
  </si>
  <si>
    <t>Velocidad de la Burbuja (1)</t>
  </si>
  <si>
    <t>Tiempo de Contacto</t>
  </si>
  <si>
    <t>seg</t>
  </si>
  <si>
    <t>(1) Ec 6,3,3 Streeter</t>
  </si>
  <si>
    <t>Ec. 1, 2 y 3</t>
  </si>
  <si>
    <t>Cabeza de Velocidad Total en  Boquillas</t>
  </si>
  <si>
    <t>15 a 30 min</t>
  </si>
  <si>
    <t>30-75 min</t>
  </si>
  <si>
    <t>Steel</t>
  </si>
  <si>
    <t>Diámetro del Flock</t>
  </si>
  <si>
    <t>Densidad Relativa del Flock</t>
  </si>
  <si>
    <t xml:space="preserve">JAR-PA </t>
  </si>
  <si>
    <t>pag 139</t>
  </si>
  <si>
    <t>Velocidad d e Sedimentación</t>
  </si>
  <si>
    <t>Ec. 5,8 pag 130</t>
  </si>
  <si>
    <t>Altura de Sedimentación</t>
  </si>
  <si>
    <t>Tiempo de Sedimentación</t>
  </si>
  <si>
    <t>Tiempo de Floculación</t>
  </si>
  <si>
    <t>pag 96</t>
  </si>
  <si>
    <t>Tiempo de Procesos Requerido</t>
  </si>
  <si>
    <t>Condiciones Orgánicas del Agua</t>
  </si>
  <si>
    <t>Número de Venturis</t>
  </si>
  <si>
    <t>Caudal por Venturi</t>
  </si>
  <si>
    <t>Suministro de Oxígeno Aportado por Venturi</t>
  </si>
  <si>
    <t>Sistema de Aireación por Difusores</t>
  </si>
  <si>
    <t>Suministro de Oxígeno Aportado por Difusores</t>
  </si>
  <si>
    <t>BOD Removida</t>
  </si>
  <si>
    <t>Concentración de Sólidos Inorgánicos Removidos</t>
  </si>
  <si>
    <t>Edad de Lodos</t>
  </si>
  <si>
    <t>Constante de Declinación Endógena</t>
  </si>
  <si>
    <t>Kd</t>
  </si>
  <si>
    <t>Cinara</t>
  </si>
  <si>
    <t>Coeficiente de Producción de Biomasa</t>
  </si>
  <si>
    <t>Y</t>
  </si>
  <si>
    <t>Tasa de Producción de Lodos Total</t>
  </si>
  <si>
    <t>Factor de Transferencia en Condiciones  Estándar N</t>
  </si>
  <si>
    <t>psi</t>
  </si>
  <si>
    <t>GPM</t>
  </si>
  <si>
    <t>1 1/2 pg</t>
  </si>
  <si>
    <t>gpm</t>
  </si>
  <si>
    <t>2 pg</t>
  </si>
  <si>
    <t>3 pg</t>
  </si>
  <si>
    <t>Filtro de Zeolita</t>
  </si>
  <si>
    <t>Tasa de Filtración</t>
  </si>
  <si>
    <t>m/d</t>
  </si>
  <si>
    <t>Tabla 6,3  pag 201</t>
  </si>
  <si>
    <t>Lps/m2</t>
  </si>
  <si>
    <t>Area Requerida de Lecho</t>
  </si>
  <si>
    <t>Area Dispuesta</t>
  </si>
  <si>
    <t>Largo</t>
  </si>
  <si>
    <t>Ancho</t>
  </si>
  <si>
    <t>Cloración</t>
  </si>
  <si>
    <t>Dosis de Cloro</t>
  </si>
  <si>
    <t>9 T Q pag 12</t>
  </si>
  <si>
    <t>Tasa de Aplicación</t>
  </si>
  <si>
    <t>gr/día</t>
  </si>
  <si>
    <t>gr/h</t>
  </si>
  <si>
    <t>Capacidad Sanilec 2</t>
  </si>
  <si>
    <t>L</t>
  </si>
  <si>
    <t>Tiempo de Electrólisis</t>
  </si>
  <si>
    <t>No de Ciclos por Dia</t>
  </si>
  <si>
    <t>Cantidad de Sal por Ciclo</t>
  </si>
  <si>
    <t>kg</t>
  </si>
  <si>
    <t>Concentración de Cloro</t>
  </si>
  <si>
    <t>6 TQ pag 12</t>
  </si>
  <si>
    <t>Caudal de Inyección</t>
  </si>
  <si>
    <t xml:space="preserve">Factor de Utilización de la Inyección  </t>
  </si>
  <si>
    <t>l/min</t>
  </si>
  <si>
    <t>Bomba de Inyección</t>
  </si>
  <si>
    <t xml:space="preserve">Capacidad Tanque </t>
  </si>
  <si>
    <t>Capacidad Sanilec 6</t>
  </si>
  <si>
    <t>Duración de la Cochada</t>
  </si>
  <si>
    <t>Bombeo de 300Lps</t>
  </si>
  <si>
    <t>3 TQ</t>
  </si>
  <si>
    <t>gr Cl/ciclo</t>
  </si>
  <si>
    <t>Diafragma Flojet 4,6 Lpm</t>
  </si>
  <si>
    <t>Plantas Potabilización pg 2</t>
  </si>
  <si>
    <t>con zeolita 1 a 3 mm</t>
  </si>
  <si>
    <t>Relacion Cloro/Sodio</t>
  </si>
  <si>
    <t xml:space="preserve">Producción Diaria de Sodio </t>
  </si>
  <si>
    <t>Producción Diaria de Soda Cáustica</t>
  </si>
  <si>
    <t>Producción Diaria de Lodos Orgánicos</t>
  </si>
  <si>
    <t>Relación Soda Cáustica/Lodos Calculada</t>
  </si>
  <si>
    <t>Relación Soda Cáustica/Lodos Recomendada</t>
  </si>
  <si>
    <t>ME paf 1503</t>
  </si>
  <si>
    <t>Relacion Soda Cáustica/Sodio</t>
  </si>
  <si>
    <t>grmol NaOH</t>
  </si>
  <si>
    <t>ELEMENTO</t>
  </si>
  <si>
    <t>SIMBOLO</t>
  </si>
  <si>
    <t>NUMERO ATOMICO</t>
  </si>
  <si>
    <t>PESO ATOMICO</t>
  </si>
  <si>
    <t>Actinio</t>
  </si>
  <si>
    <t>Ac</t>
  </si>
  <si>
    <t>Aluminio</t>
  </si>
  <si>
    <t>Al</t>
  </si>
  <si>
    <t>Americio</t>
  </si>
  <si>
    <t>Am</t>
  </si>
  <si>
    <t>Antimonio</t>
  </si>
  <si>
    <t>Sb</t>
  </si>
  <si>
    <t>Argón</t>
  </si>
  <si>
    <t>Ar</t>
  </si>
  <si>
    <t>Arsénico</t>
  </si>
  <si>
    <t>As</t>
  </si>
  <si>
    <t>Astato</t>
  </si>
  <si>
    <t>At</t>
  </si>
  <si>
    <t>Azufre</t>
  </si>
  <si>
    <t>S</t>
  </si>
  <si>
    <t>Bario</t>
  </si>
  <si>
    <t>Ba</t>
  </si>
  <si>
    <t>Berilio</t>
  </si>
  <si>
    <t>Be</t>
  </si>
  <si>
    <t>Berkelio</t>
  </si>
  <si>
    <t>Bk</t>
  </si>
  <si>
    <t>Bismuto</t>
  </si>
  <si>
    <t>Bi</t>
  </si>
  <si>
    <t>Boro</t>
  </si>
  <si>
    <t>B</t>
  </si>
  <si>
    <t>Bromo</t>
  </si>
  <si>
    <t>Br</t>
  </si>
  <si>
    <t>Cadmio</t>
  </si>
  <si>
    <t>Cd</t>
  </si>
  <si>
    <t>Calcio</t>
  </si>
  <si>
    <t>Ca</t>
  </si>
  <si>
    <t>Californio</t>
  </si>
  <si>
    <t>Cf</t>
  </si>
  <si>
    <t>Carbono</t>
  </si>
  <si>
    <t>C</t>
  </si>
  <si>
    <r>
      <t>12</t>
    </r>
    <r>
      <rPr>
        <sz val="7.5"/>
        <color theme="1"/>
        <rFont val="Verdana"/>
        <family val="2"/>
      </rPr>
      <t>C</t>
    </r>
  </si>
  <si>
    <t>12 (exactamente)</t>
  </si>
  <si>
    <t>Cerio</t>
  </si>
  <si>
    <t>Ce</t>
  </si>
  <si>
    <t>Cesio</t>
  </si>
  <si>
    <t>Cloro</t>
  </si>
  <si>
    <t>Cl</t>
  </si>
  <si>
    <t>Cobalto</t>
  </si>
  <si>
    <t>Co</t>
  </si>
  <si>
    <t>Cobre</t>
  </si>
  <si>
    <t>Cu</t>
  </si>
  <si>
    <t>Cromo</t>
  </si>
  <si>
    <t>Cr</t>
  </si>
  <si>
    <t>Curio</t>
  </si>
  <si>
    <t>Cm</t>
  </si>
  <si>
    <t>Disprosio</t>
  </si>
  <si>
    <t>Dy</t>
  </si>
  <si>
    <t>Einstenio</t>
  </si>
  <si>
    <t>Es</t>
  </si>
  <si>
    <t>Erbio</t>
  </si>
  <si>
    <t>Er</t>
  </si>
  <si>
    <t>Escandio</t>
  </si>
  <si>
    <t>Sc</t>
  </si>
  <si>
    <t>Estaño</t>
  </si>
  <si>
    <t>Sn</t>
  </si>
  <si>
    <t>Estroncio</t>
  </si>
  <si>
    <t>Sr</t>
  </si>
  <si>
    <t>Europio</t>
  </si>
  <si>
    <t>Eu</t>
  </si>
  <si>
    <t>Fermio</t>
  </si>
  <si>
    <t>Fm</t>
  </si>
  <si>
    <t>Fierro</t>
  </si>
  <si>
    <t>Fe</t>
  </si>
  <si>
    <t>Fluor</t>
  </si>
  <si>
    <t>F</t>
  </si>
  <si>
    <t>Fósforo</t>
  </si>
  <si>
    <t>Francio</t>
  </si>
  <si>
    <t>Fr</t>
  </si>
  <si>
    <t>Gadolinio</t>
  </si>
  <si>
    <t>Gd</t>
  </si>
  <si>
    <t>Galio</t>
  </si>
  <si>
    <t>Ga</t>
  </si>
  <si>
    <t>Germanio</t>
  </si>
  <si>
    <t>Ge</t>
  </si>
  <si>
    <t>Hafnio</t>
  </si>
  <si>
    <t>Hf</t>
  </si>
  <si>
    <t>Helio</t>
  </si>
  <si>
    <t>He</t>
  </si>
  <si>
    <t>Hidrógeno</t>
  </si>
  <si>
    <t>H</t>
  </si>
  <si>
    <t>Holmio</t>
  </si>
  <si>
    <t>Ho</t>
  </si>
  <si>
    <t>Indio</t>
  </si>
  <si>
    <t>In</t>
  </si>
  <si>
    <t>Iridio</t>
  </si>
  <si>
    <t>Ir</t>
  </si>
  <si>
    <t>Iterbio</t>
  </si>
  <si>
    <t>Yb</t>
  </si>
  <si>
    <t>Itrio</t>
  </si>
  <si>
    <t>Kriptón</t>
  </si>
  <si>
    <t>Kr</t>
  </si>
  <si>
    <t>Lantano</t>
  </si>
  <si>
    <t>La</t>
  </si>
  <si>
    <t>Lawrencio</t>
  </si>
  <si>
    <t>Lw</t>
  </si>
  <si>
    <t>Litio</t>
  </si>
  <si>
    <t>Li</t>
  </si>
  <si>
    <t>Lutecio</t>
  </si>
  <si>
    <t>Lu</t>
  </si>
  <si>
    <t>Magnesio</t>
  </si>
  <si>
    <t>Mg</t>
  </si>
  <si>
    <t>Manganeso</t>
  </si>
  <si>
    <t>Mn</t>
  </si>
  <si>
    <t>Mendelevio</t>
  </si>
  <si>
    <t>Md</t>
  </si>
  <si>
    <t>Mercurio</t>
  </si>
  <si>
    <t>Hg</t>
  </si>
  <si>
    <t>Molibdeno</t>
  </si>
  <si>
    <t>Mo</t>
  </si>
  <si>
    <t>Neodimio</t>
  </si>
  <si>
    <t>Nd</t>
  </si>
  <si>
    <t>Neón</t>
  </si>
  <si>
    <t>Ne</t>
  </si>
  <si>
    <t>Neptunio</t>
  </si>
  <si>
    <t>Np</t>
  </si>
  <si>
    <t>Niobio</t>
  </si>
  <si>
    <t>Nb</t>
  </si>
  <si>
    <t>Níquel</t>
  </si>
  <si>
    <t>Ni</t>
  </si>
  <si>
    <t>Nitrógeno</t>
  </si>
  <si>
    <t>N</t>
  </si>
  <si>
    <t>Nobelio</t>
  </si>
  <si>
    <t>No</t>
  </si>
  <si>
    <t>Oro</t>
  </si>
  <si>
    <t>Au</t>
  </si>
  <si>
    <t>Osmio</t>
  </si>
  <si>
    <t>Os</t>
  </si>
  <si>
    <t>Oxígeno</t>
  </si>
  <si>
    <t>O</t>
  </si>
  <si>
    <t>Paladio</t>
  </si>
  <si>
    <t>Pd</t>
  </si>
  <si>
    <t>Plata</t>
  </si>
  <si>
    <t>Ag</t>
  </si>
  <si>
    <t>Platino</t>
  </si>
  <si>
    <t>Pt</t>
  </si>
  <si>
    <t>Plomo</t>
  </si>
  <si>
    <t>Pb</t>
  </si>
  <si>
    <t>Plutonio</t>
  </si>
  <si>
    <t>Pu</t>
  </si>
  <si>
    <t>Polonio</t>
  </si>
  <si>
    <t>Po</t>
  </si>
  <si>
    <t>Potasio</t>
  </si>
  <si>
    <t>K</t>
  </si>
  <si>
    <t>Praseodimio</t>
  </si>
  <si>
    <t>Pr</t>
  </si>
  <si>
    <t>Prometio</t>
  </si>
  <si>
    <t>Pm</t>
  </si>
  <si>
    <t>Protactinio</t>
  </si>
  <si>
    <t>Pa</t>
  </si>
  <si>
    <t>Radio</t>
  </si>
  <si>
    <t>Ra</t>
  </si>
  <si>
    <t>Radón</t>
  </si>
  <si>
    <t>Rn</t>
  </si>
  <si>
    <t>Renio</t>
  </si>
  <si>
    <t>Re</t>
  </si>
  <si>
    <t>Rodio</t>
  </si>
  <si>
    <t>Rh</t>
  </si>
  <si>
    <t>Rubidio</t>
  </si>
  <si>
    <t>Rb</t>
  </si>
  <si>
    <t>Rutenio</t>
  </si>
  <si>
    <t>Ru</t>
  </si>
  <si>
    <t>Samario</t>
  </si>
  <si>
    <t>Sm</t>
  </si>
  <si>
    <t>Selenio</t>
  </si>
  <si>
    <t>Se</t>
  </si>
  <si>
    <t>Silicio</t>
  </si>
  <si>
    <t>Si</t>
  </si>
  <si>
    <t>Sodio</t>
  </si>
  <si>
    <t>Na</t>
  </si>
  <si>
    <t>Talio</t>
  </si>
  <si>
    <t>Tl</t>
  </si>
  <si>
    <t>Tántalo</t>
  </si>
  <si>
    <t>Ta</t>
  </si>
  <si>
    <t>Tecnecio</t>
  </si>
  <si>
    <t>Tc</t>
  </si>
  <si>
    <t>Teluro</t>
  </si>
  <si>
    <t>Te</t>
  </si>
  <si>
    <t>Terbio</t>
  </si>
  <si>
    <t>Tb</t>
  </si>
  <si>
    <t>Titanio</t>
  </si>
  <si>
    <t>Ti</t>
  </si>
  <si>
    <t>Torio</t>
  </si>
  <si>
    <t>Th</t>
  </si>
  <si>
    <t>Tulio</t>
  </si>
  <si>
    <t>Tm</t>
  </si>
  <si>
    <t>Tungsteno</t>
  </si>
  <si>
    <t>W</t>
  </si>
  <si>
    <t>Uranio</t>
  </si>
  <si>
    <t>U</t>
  </si>
  <si>
    <t>Vanadio</t>
  </si>
  <si>
    <t>Xenón</t>
  </si>
  <si>
    <t>Xe</t>
  </si>
  <si>
    <t>Yodo</t>
  </si>
  <si>
    <t>I</t>
  </si>
  <si>
    <t>Zinc</t>
  </si>
  <si>
    <t>Zn</t>
  </si>
  <si>
    <t>Zirconio</t>
  </si>
  <si>
    <t>Zr</t>
  </si>
  <si>
    <t>Peso Atómico Na</t>
  </si>
  <si>
    <t>Peso Atómico O</t>
  </si>
  <si>
    <t>Peso Atómico H</t>
  </si>
  <si>
    <t>Peso Atómico Cl</t>
  </si>
  <si>
    <t>Tasa de Consumo de Oxígeno por Kg de Carga Carbonácea</t>
  </si>
  <si>
    <t>Tasa de Consumo de Oxígeno por Kg de Carga Nitrogenada</t>
  </si>
  <si>
    <t>Factor de Equivalencia de la Carga Nitrogenada</t>
  </si>
  <si>
    <t>KgO2/Kg NH4 removida</t>
  </si>
  <si>
    <t>ciclos</t>
  </si>
  <si>
    <t>Verificar tiempo de llenado</t>
  </si>
  <si>
    <t>Longitud difusor</t>
  </si>
  <si>
    <t>cm            diametro</t>
  </si>
  <si>
    <t>Longitud del Difusor</t>
  </si>
  <si>
    <t>Produndidad</t>
  </si>
  <si>
    <t>ft</t>
  </si>
  <si>
    <t>Caudal por ml de difusor</t>
  </si>
  <si>
    <t>mca</t>
  </si>
  <si>
    <t>Ancho de Cresta de Canaleta Parshall</t>
  </si>
  <si>
    <t>Capacidad Canaleta Parshall</t>
  </si>
  <si>
    <t>Ven Te Chow Pag. 73</t>
  </si>
  <si>
    <t>Número de Rejillas</t>
  </si>
  <si>
    <t>Area de Rejillas</t>
  </si>
  <si>
    <t>Velocidad a través de Rejilla</t>
  </si>
  <si>
    <t>cm/s</t>
  </si>
  <si>
    <t>Sobrelevación</t>
  </si>
  <si>
    <t>Altura Agua de Bombeo Requerida</t>
  </si>
  <si>
    <t>Altura Agua de Bombeo Disponible</t>
  </si>
  <si>
    <t>Dimensiones de la Cámara de Reacción</t>
  </si>
  <si>
    <t xml:space="preserve">PLANTA DE POTABILIZACION TIPO SBR CON BIOFILTRO SECUENCIAL AIREADO </t>
  </si>
  <si>
    <t>Gradiente =</t>
  </si>
  <si>
    <t>No de Lechos</t>
  </si>
  <si>
    <t>Largo de Lecho</t>
  </si>
  <si>
    <t>Ancho de Lecho</t>
  </si>
  <si>
    <t>Caudal de  Diseño</t>
  </si>
  <si>
    <t>Solidos Suspendidos Totales</t>
  </si>
  <si>
    <t>TSS</t>
  </si>
  <si>
    <t>Eficiencia en Remoción de TSS</t>
  </si>
  <si>
    <t>Coagulante FeCl Requerido</t>
  </si>
  <si>
    <t>gr/m3</t>
  </si>
  <si>
    <t>Masa de Hidróxido Férrico Fe(OH)3</t>
  </si>
  <si>
    <t>Masa de Cal para formar Hidróxido Férrico</t>
  </si>
  <si>
    <t>Concentración de Coagulante el Tanque Dosificador</t>
  </si>
  <si>
    <t>Volumen de Tanque Dosificador</t>
  </si>
  <si>
    <t xml:space="preserve">L </t>
  </si>
  <si>
    <t>Cantidad de Coagulante en Tanque Dosificador</t>
  </si>
  <si>
    <t>Kg</t>
  </si>
  <si>
    <t>Periodo de Alimentación de Coagulante</t>
  </si>
  <si>
    <t>Cantidad de  Coagulante Repuesto</t>
  </si>
  <si>
    <t>20 a 50 min</t>
  </si>
  <si>
    <t>pag 92</t>
  </si>
  <si>
    <t>Variación en Nivel del Lecho</t>
  </si>
  <si>
    <t>Valvula de Flotador</t>
  </si>
  <si>
    <t>No de Valvulas de Fotador</t>
  </si>
  <si>
    <t>Caudal de Salida</t>
  </si>
  <si>
    <t>Tiempo de Purga de Lodos y Filtración</t>
  </si>
  <si>
    <t>Diámetro de Valvlula de Flotador</t>
  </si>
  <si>
    <t>Altura del Lecho</t>
  </si>
  <si>
    <t>4 Zeol</t>
  </si>
  <si>
    <t>10 min</t>
  </si>
  <si>
    <t>120  m/d filtros rápidos</t>
  </si>
  <si>
    <t>porcentaje de no filtracion</t>
  </si>
  <si>
    <t>Volumen de Zeolita</t>
  </si>
  <si>
    <t>Costo=</t>
  </si>
  <si>
    <t>Precio por m3 =</t>
  </si>
  <si>
    <t>Caudal de Agua por Válvula</t>
  </si>
  <si>
    <t>No de Bolsas de 50 Kg</t>
  </si>
  <si>
    <t>Profundidad del Lecho</t>
  </si>
  <si>
    <t>Velocidad de la Burbuja (2)</t>
  </si>
  <si>
    <t>(2) Ec, III-8 pg 207 Afzal Ahmed</t>
  </si>
  <si>
    <t>Longitud  de Tubería</t>
  </si>
  <si>
    <t>Viscosidad del Agua</t>
  </si>
  <si>
    <t>m2/s</t>
  </si>
  <si>
    <t>a 20 oC</t>
  </si>
  <si>
    <t>Número Re</t>
  </si>
  <si>
    <t>Factor de Fricción</t>
  </si>
  <si>
    <t>Pendiente de Pérdidas</t>
  </si>
  <si>
    <t>Coeficiente de Perdidas para Codo de 90o</t>
  </si>
  <si>
    <t>RAS Titulo B Numeral B.6,4,5</t>
  </si>
  <si>
    <t>Total de Codos</t>
  </si>
  <si>
    <t>Perdidas de Accesorios</t>
  </si>
  <si>
    <t>Perdidas en Tuberías</t>
  </si>
  <si>
    <t>Diagrama de Moody</t>
  </si>
  <si>
    <t>Cabeza de Velocidad  en  Tuberías</t>
  </si>
  <si>
    <t>Perdidas de Cabeza en Tuberías</t>
  </si>
  <si>
    <t xml:space="preserve"> Hidromac Linea AZ </t>
  </si>
  <si>
    <t>2x3x5A 1750rpm  P= 1,5  HP</t>
  </si>
  <si>
    <t>Hidromac Monobloc</t>
  </si>
  <si>
    <t>Kg O2/d</t>
  </si>
  <si>
    <t>Consumo O2 por Remoción de Carga Nitrogenada</t>
  </si>
  <si>
    <r>
      <t>Factor de Corrección de Transferencia de O2 para Aguas Residuales</t>
    </r>
    <r>
      <rPr>
        <sz val="10"/>
        <rFont val="Arial"/>
        <family val="2"/>
      </rPr>
      <t xml:space="preserve"> α</t>
    </r>
  </si>
  <si>
    <t>Diámetro Abertura</t>
  </si>
  <si>
    <t>Tasa de Transferencia de O2 Standard Adoptada por Venturi</t>
  </si>
  <si>
    <t>Tasa de Transferencia de O2 Standard Total Media por Venturis</t>
  </si>
  <si>
    <t>Tasa de Transferencia de O2  in Situ Total Media por Venturis</t>
  </si>
  <si>
    <t>2x3x5A o 2x21/2x7A 1750rpm  P= 1,5  HP</t>
  </si>
  <si>
    <t>Opera con llenado y floculación</t>
  </si>
  <si>
    <t>Solidos Organicos Producidos</t>
  </si>
  <si>
    <t>Solidos Inorganicos Producidos</t>
  </si>
  <si>
    <t>Lecho de Secado</t>
  </si>
  <si>
    <t>Volumen de EPU Disponible</t>
  </si>
  <si>
    <t>Caudal de Aire en condiciones de terreno  promedio</t>
  </si>
  <si>
    <t xml:space="preserve">Capacidad de caudal de Aire en condiciones de terreno </t>
  </si>
  <si>
    <t>Tanque de Solución de Coagulante</t>
  </si>
  <si>
    <t>Dosis de Cal Requerida</t>
  </si>
  <si>
    <t>Masa de Lodo Seco Floculado</t>
  </si>
  <si>
    <t>JAR PA pag 294</t>
  </si>
  <si>
    <t>Potencia de Mezcla con Soplador</t>
  </si>
  <si>
    <t>Entrada de Aire</t>
  </si>
  <si>
    <t xml:space="preserve">Diametro Inferior de Chorro </t>
  </si>
  <si>
    <t>bn</t>
  </si>
  <si>
    <t xml:space="preserve">Diametro Superior de Chorro </t>
  </si>
  <si>
    <t>bj</t>
  </si>
  <si>
    <t>Relación bj/bn</t>
  </si>
  <si>
    <t>Relación Qa/Qw (Formula de Henderson)</t>
  </si>
  <si>
    <t>4 TA pg 1</t>
  </si>
  <si>
    <t>Caudal de Aire</t>
  </si>
  <si>
    <t>Diámetro de Conducto de Aire</t>
  </si>
  <si>
    <t>Velocidad del Aire</t>
  </si>
  <si>
    <t>Flotador bajo de Tanque de Entrada</t>
  </si>
  <si>
    <t>Interruptor OFF de Inicio de Ciclo (bomba de entrada a reactor, dosificación coagulante y soplador)</t>
  </si>
  <si>
    <t>Sumergido</t>
  </si>
  <si>
    <t>Emergido</t>
  </si>
  <si>
    <t>Interruptor ON de Inicio de Ciclo (bomba de entrada a reactor, dosificación coagulante y soplador)</t>
  </si>
  <si>
    <t>Flotador alto de Reactor</t>
  </si>
  <si>
    <t>SENSOR</t>
  </si>
  <si>
    <t>ESTADO</t>
  </si>
  <si>
    <t>DISPOSITIVOS QUE ACCIONA</t>
  </si>
  <si>
    <t>Relay Zelio</t>
  </si>
  <si>
    <t>Tiempo de Reposo luego de Floculación</t>
  </si>
  <si>
    <t>Tiempo máximo de bombeo hacia tanque elevado</t>
  </si>
  <si>
    <t>Resago</t>
  </si>
  <si>
    <t>Apaga y mantiene apagada bomba de entrada a reactor durante R+R2+R3</t>
  </si>
  <si>
    <t>Apaga el soplador luego de un rezago R1</t>
  </si>
  <si>
    <t>R1</t>
  </si>
  <si>
    <t>R2</t>
  </si>
  <si>
    <t>R3</t>
  </si>
  <si>
    <t>Flotador bajo en Tanque Filtro</t>
  </si>
  <si>
    <t>Arranca la bomba de salida luego de un rezago R1+R2</t>
  </si>
  <si>
    <t>Problema: mantener bomba hacia reactor, dosificador  y soplador OFF durante ciclo</t>
  </si>
  <si>
    <t>Secuenciador ?</t>
  </si>
  <si>
    <t>Solución: Se prenden con secuenciador y se apagan con temporizador o flotador</t>
  </si>
  <si>
    <t>RO</t>
  </si>
  <si>
    <t>Flotador bajo de Tanque Filtro</t>
  </si>
  <si>
    <t>DISPOSITIVO</t>
  </si>
  <si>
    <t>Tiempo desde Inicio</t>
  </si>
  <si>
    <t>Rd</t>
  </si>
  <si>
    <t>Tiempo de dosificación de coagulante</t>
  </si>
  <si>
    <t>APAGADO</t>
  </si>
  <si>
    <t>Bomba de Entrada a Reactor</t>
  </si>
  <si>
    <t>R0</t>
  </si>
  <si>
    <t>Soplador</t>
  </si>
  <si>
    <t>R0+R1</t>
  </si>
  <si>
    <t>ENCENDIDO</t>
  </si>
  <si>
    <t>Bomba de Salida de Reactor</t>
  </si>
  <si>
    <t>R0+R1+R2</t>
  </si>
  <si>
    <t>R0+R1+R2+R3</t>
  </si>
  <si>
    <t>PROGAMACION DE LOS TEMPORIZADORES</t>
  </si>
  <si>
    <t>Temporizador</t>
  </si>
  <si>
    <t>Tiempo Final</t>
  </si>
  <si>
    <t>Dosificación de Cloro</t>
  </si>
  <si>
    <t>Rcl</t>
  </si>
  <si>
    <t>Activacion con bombeo a Tanque Elevado</t>
  </si>
  <si>
    <t>Tiempo estimado de Llenado de Reactor</t>
  </si>
  <si>
    <t>Flotador bajo de Tanque Filtro emergido</t>
  </si>
  <si>
    <t>Flotador bajo de Tanque de Entrada sumergido</t>
  </si>
  <si>
    <t>Flotador alto del Reactor sumergido o Temporizador</t>
  </si>
  <si>
    <t>Secuencia de Reactor</t>
  </si>
  <si>
    <t>Inicio de Secuencia</t>
  </si>
  <si>
    <t>Temporizador on Delay activado al inicio</t>
  </si>
  <si>
    <t>Temporizador on Delay que enciende bomba de salida de reactor</t>
  </si>
  <si>
    <t>Dosificación de Coagulante</t>
  </si>
  <si>
    <t>Flotador bajo del Reactor  emergido (Resetea secuencia)</t>
  </si>
  <si>
    <t>Flotador bajo de Reactor emergido (Resetea)</t>
  </si>
  <si>
    <t>T</t>
  </si>
  <si>
    <t>Sensor de turbidez</t>
  </si>
  <si>
    <t>0&gt;T&gt;T1</t>
  </si>
  <si>
    <t>Bombeo de Coagulante durante tc1</t>
  </si>
  <si>
    <t>Bombeo de Agua  durante ta1</t>
  </si>
  <si>
    <t xml:space="preserve">      Si</t>
  </si>
  <si>
    <t>Arranque de bomba de salida de reactor</t>
  </si>
  <si>
    <t>Sensor nivel bajo en reactor sumergido</t>
  </si>
  <si>
    <t>RESET</t>
  </si>
  <si>
    <t xml:space="preserve">              Si</t>
  </si>
  <si>
    <t xml:space="preserve">               Si</t>
  </si>
  <si>
    <t>T1&gt;T&gt;T2</t>
  </si>
  <si>
    <t>T2&gt;T&gt;T3</t>
  </si>
  <si>
    <t>T3&gt;T&gt;T4</t>
  </si>
  <si>
    <t>Bombeo de Coagulante durante tc2</t>
  </si>
  <si>
    <t>Bombeo de Agua  durante ta2</t>
  </si>
  <si>
    <t xml:space="preserve">       Sensor del Nivel Bajo de Tanque de Entrada Sumergido?</t>
  </si>
  <si>
    <t xml:space="preserve">    INICIO</t>
  </si>
  <si>
    <t xml:space="preserve">       Sensor del Nivel de Tanque de Salida Emergido?</t>
  </si>
  <si>
    <t>Ninguna acción</t>
  </si>
  <si>
    <t xml:space="preserve">     No</t>
  </si>
  <si>
    <t xml:space="preserve">         No</t>
  </si>
  <si>
    <t xml:space="preserve">Señal analoga </t>
  </si>
  <si>
    <t>Funcionamiento de Floculador durante tf1</t>
  </si>
  <si>
    <t>Rezago RS1 = ta1+tf1+td1</t>
  </si>
  <si>
    <t>Rezago RS2 = ta2+tf2+tr2</t>
  </si>
  <si>
    <t>Funcionamiento de Floculador durante tf2</t>
  </si>
  <si>
    <t>Proceso similar al anterior para rango de turbiedad usando tc3, ta3, tf3 y td2</t>
  </si>
  <si>
    <t>Proceso similar al anterior para rango de turbiedad usando tc4, ta4, tf4 y td4</t>
  </si>
  <si>
    <t>Proceso similar al anterior para rango de turbiedad usando tc5, ta5, tf5 y td5</t>
  </si>
  <si>
    <t>Cabeza de Velocidad en Orificios</t>
  </si>
  <si>
    <t>Error</t>
  </si>
  <si>
    <t>Ciclos</t>
  </si>
  <si>
    <t>Lts</t>
  </si>
  <si>
    <t>Cabeza de Velocidad</t>
  </si>
  <si>
    <t>Perdidas de Cabeza en Tubería</t>
  </si>
  <si>
    <t>Indicadores de Control</t>
  </si>
  <si>
    <t>Velocidad  en Chorros</t>
  </si>
  <si>
    <t>hv</t>
  </si>
  <si>
    <t>No de Chorros</t>
  </si>
  <si>
    <t>Diámetro de Orificio</t>
  </si>
  <si>
    <t>Area de Flujo por Perforación</t>
  </si>
  <si>
    <t>Coeficiente de Descarga</t>
  </si>
  <si>
    <t>Caudal por Parrilla</t>
  </si>
  <si>
    <t>T°C</t>
  </si>
  <si>
    <t>Factor de Corrección de Transferencia de O2 para Aguas Residuales</t>
  </si>
  <si>
    <t xml:space="preserve"> α</t>
  </si>
  <si>
    <t>β</t>
  </si>
  <si>
    <t>No aplica</t>
  </si>
  <si>
    <t>Hb</t>
  </si>
  <si>
    <t xml:space="preserve">Cabeza de Velocidad </t>
  </si>
  <si>
    <t>Accesorios</t>
  </si>
  <si>
    <t>Velocidad de Sedimentación</t>
  </si>
  <si>
    <t>td</t>
  </si>
  <si>
    <t>mg O2/L</t>
  </si>
  <si>
    <t>Concentración DBO Afluente</t>
  </si>
  <si>
    <t>to</t>
  </si>
  <si>
    <t>Caudal a Tratar</t>
  </si>
  <si>
    <t>Variables Principales de Entrada</t>
  </si>
  <si>
    <t xml:space="preserve">Longitud  </t>
  </si>
  <si>
    <t>Espesor del Lecho</t>
  </si>
  <si>
    <t>Pag 134</t>
  </si>
  <si>
    <t>Pag 235</t>
  </si>
  <si>
    <t>Cambiar</t>
  </si>
  <si>
    <t>Rev</t>
  </si>
  <si>
    <t>Area de Biopelícula por m3</t>
  </si>
  <si>
    <t>Concentración de Oxígeno Disuelto</t>
  </si>
  <si>
    <t xml:space="preserve">Ancho  </t>
  </si>
  <si>
    <t>Numero de Capas</t>
  </si>
  <si>
    <t>1/8"</t>
  </si>
  <si>
    <t xml:space="preserve">Area en Planta </t>
  </si>
  <si>
    <t>Altura de Bioportadores para Remoción Anaeróbica de Carbono</t>
  </si>
  <si>
    <t>Volumen Zona de Digestión Anaeróbica</t>
  </si>
  <si>
    <t>Chorros por Ramal</t>
  </si>
  <si>
    <t>No de Ramales</t>
  </si>
  <si>
    <t>Caudal por Ramal</t>
  </si>
  <si>
    <t>ƒ</t>
  </si>
  <si>
    <t>factor de fricción</t>
  </si>
  <si>
    <t>Concentración de NH4 a Remover</t>
  </si>
  <si>
    <t>Concentración de Saturación de O2  para 20 °C a nivel del mar</t>
  </si>
  <si>
    <t>Potencia Hidráulica por Chorro</t>
  </si>
  <si>
    <t>Ph</t>
  </si>
  <si>
    <t>Eficiencia Energética del Chorro en Condiciones Estándar</t>
  </si>
  <si>
    <t>SOTE</t>
  </si>
  <si>
    <t xml:space="preserve">Factor de Correcciòn por Salinidad y Tensión Superficial </t>
  </si>
  <si>
    <t xml:space="preserve">Factor Tranferencia de O2 en Condiciones Reales </t>
  </si>
  <si>
    <t>AOTR</t>
  </si>
  <si>
    <t>KgO2/hora</t>
  </si>
  <si>
    <t xml:space="preserve">Condiciones de la Parrilla </t>
  </si>
  <si>
    <t>Tasa de Consumo de Oxígeno por Kg de NH4 para producir Nitritos</t>
  </si>
  <si>
    <t>Diámetro de Valvula e Flotador</t>
  </si>
  <si>
    <t>Caudal por Chorro</t>
  </si>
  <si>
    <t>Transferencia de Oxígeno por Parrilla</t>
  </si>
  <si>
    <t xml:space="preserve">Concentración de OD a la salida </t>
  </si>
  <si>
    <t>Clasificación de la Información</t>
  </si>
  <si>
    <t>Carga de DBO5 Afluente</t>
  </si>
  <si>
    <t>kg DBO5/día</t>
  </si>
  <si>
    <t>kW-h/m3</t>
  </si>
  <si>
    <t>min/ciclo</t>
  </si>
  <si>
    <t>Altura de Bioportadores Total en Tanque Anaeróbico</t>
  </si>
  <si>
    <t>Altura Mínima de Zona de Digestión Anaeróbica</t>
  </si>
  <si>
    <t>KgDBO/m3xdía</t>
  </si>
  <si>
    <t>Relación C/N de Entrada</t>
  </si>
  <si>
    <t>Kg SSV/día</t>
  </si>
  <si>
    <t xml:space="preserve">Eficiencia en Remoción de Carbono mediante Digestión Anaeróbica </t>
  </si>
  <si>
    <t>Carga de NH4 Afluente a Planta</t>
  </si>
  <si>
    <t>Parámetros de Entrada</t>
  </si>
  <si>
    <t>Cantidad de Nitrógeno Amoniacal a Remover por Ciclo</t>
  </si>
  <si>
    <t>Cantidad de O2 requerido por Ciclo</t>
  </si>
  <si>
    <t>kg NH4/día</t>
  </si>
  <si>
    <t>Proprorción del Nitrógeno Amoniacal a Converitr en Nitritos</t>
  </si>
  <si>
    <t>grO2/gr NH4</t>
  </si>
  <si>
    <t>Número de Ciclos Diario</t>
  </si>
  <si>
    <t>Tiempo de Funcionamiento de Chorros Emergidos por Día</t>
  </si>
  <si>
    <t>°C</t>
  </si>
  <si>
    <t>Tiempo Mínimo de Anoxia en la Biopelícula &gt; 10 min</t>
  </si>
  <si>
    <t>g DBO/m2*día</t>
  </si>
  <si>
    <t>PLANTA USA</t>
  </si>
  <si>
    <t>cm/min</t>
  </si>
  <si>
    <t>Temperatura del Agua</t>
  </si>
  <si>
    <t>Potencia de Bombeo Consumida</t>
  </si>
  <si>
    <t>Consumo Diario de Energía por Aireación con Chorros Emergidos</t>
  </si>
  <si>
    <t>n</t>
  </si>
  <si>
    <t>SOTRc</t>
  </si>
  <si>
    <t>Variable de Ajuste</t>
  </si>
  <si>
    <t>Información de Entrada no Protegida</t>
  </si>
  <si>
    <t>Parámetros de Diseño Asumidos</t>
  </si>
  <si>
    <t xml:space="preserve">Parámetros  tomados de la Literatura Científica o Técnica </t>
  </si>
  <si>
    <t>Información Protegida</t>
  </si>
  <si>
    <t>Resultados Finales e Indicadores de Desempeño</t>
  </si>
  <si>
    <t>Parámetros y Datos de Diseño Calculados</t>
  </si>
  <si>
    <t>Otros Cálculos</t>
  </si>
  <si>
    <t>Fuente</t>
  </si>
  <si>
    <t>Calculo Alterno</t>
  </si>
  <si>
    <t>Diferencia</t>
  </si>
  <si>
    <t>Salinidad del Agua</t>
  </si>
  <si>
    <t>gr/L</t>
  </si>
  <si>
    <t xml:space="preserve">Concentración de Saturación de O2  para Temperatura </t>
  </si>
  <si>
    <r>
      <t>Cs</t>
    </r>
    <r>
      <rPr>
        <vertAlign val="subscript"/>
        <sz val="11"/>
        <rFont val="Arial"/>
        <family val="2"/>
      </rPr>
      <t xml:space="preserve">T </t>
    </r>
  </si>
  <si>
    <t>Concentración de Saturación de O2  para Temperatura  y Altitud</t>
  </si>
  <si>
    <r>
      <t>Cs</t>
    </r>
    <r>
      <rPr>
        <vertAlign val="subscript"/>
        <sz val="11"/>
        <rFont val="Arial"/>
        <family val="2"/>
      </rPr>
      <t xml:space="preserve">TA </t>
    </r>
  </si>
  <si>
    <t xml:space="preserve">Penetración de las Burbujas Calculada </t>
  </si>
  <si>
    <t>Hc</t>
  </si>
  <si>
    <t xml:space="preserve">Altura de la Capa de Bioportadores                                                     </t>
  </si>
  <si>
    <t>Profundidad de la Aireación</t>
  </si>
  <si>
    <t>Ha</t>
  </si>
  <si>
    <t>Concentración de Saturación de O2 en el Terreno</t>
  </si>
  <si>
    <t>Cs20</t>
  </si>
  <si>
    <r>
      <t>KgO</t>
    </r>
    <r>
      <rPr>
        <vertAlign val="subscript"/>
        <sz val="11"/>
        <rFont val="Arial"/>
        <family val="2"/>
      </rPr>
      <t>2</t>
    </r>
    <r>
      <rPr>
        <sz val="11"/>
        <rFont val="Arial"/>
        <family val="2"/>
      </rPr>
      <t>/kW-h</t>
    </r>
  </si>
  <si>
    <t>Factor de Mayoración por Efecto de Bioportadores</t>
  </si>
  <si>
    <t>FMB</t>
  </si>
  <si>
    <t>Eficiencia Energética del Chorro en Condiciones Estándar  en Tanque con Bioportadores</t>
  </si>
  <si>
    <t xml:space="preserve">Transferencia de O2  en Condiciones Estandar por Chorro en Tanque con Bioportadores </t>
  </si>
  <si>
    <t>INTRUCCIONES SOBRE HOJA DE CÁLCULO</t>
  </si>
  <si>
    <t>La clave para desbloquear las celdas protegidas es "Increagua"</t>
  </si>
  <si>
    <t xml:space="preserve">Se puede realizar un cálculo alterno modificando una variable de un parámetro no protegido. El color de esta </t>
  </si>
  <si>
    <t xml:space="preserve">variable se cambia a un color distintivo, por ejemplo azul, para diferenciarla. Para revertir o modificar esta </t>
  </si>
  <si>
    <t>operación, se coloca en la casilla de la variable modificada la intrucción "=#", donde # es el númeno de la fila.</t>
  </si>
  <si>
    <t xml:space="preserve">La columna que contiene el cálculo alterno se puede copiar y pegar como número en otra colunma ubicada a  </t>
  </si>
  <si>
    <t>la derecha. De esta forma se puede tener el registro de varias alternativas de cambio de la variable. Existe la</t>
  </si>
  <si>
    <t>posibiidad de hacer gráficas con estos cambios.</t>
  </si>
  <si>
    <t>Temperatura T</t>
  </si>
  <si>
    <r>
      <t xml:space="preserve">Densidad </t>
    </r>
    <r>
      <rPr>
        <b/>
        <sz val="11"/>
        <color rgb="FF000000"/>
        <rFont val="GreekC"/>
      </rPr>
      <t>r</t>
    </r>
  </si>
  <si>
    <r>
      <t xml:space="preserve">Viscosidad Dinámica </t>
    </r>
    <r>
      <rPr>
        <b/>
        <sz val="11"/>
        <color rgb="FF000000"/>
        <rFont val="GreekC"/>
      </rPr>
      <t>m</t>
    </r>
  </si>
  <si>
    <r>
      <t xml:space="preserve">Viscosidad Cinemática </t>
    </r>
    <r>
      <rPr>
        <b/>
        <sz val="11"/>
        <color rgb="FF000000"/>
        <rFont val="GreekC"/>
      </rPr>
      <t>J</t>
    </r>
  </si>
  <si>
    <t>Presión de Vapor Hv</t>
  </si>
  <si>
    <t>Concentración de Saturación de O2  para T y salinidad a nivel del mar  C(s,T)</t>
  </si>
  <si>
    <r>
      <t>m</t>
    </r>
    <r>
      <rPr>
        <vertAlign val="superscript"/>
        <sz val="11"/>
        <color rgb="FF000000"/>
        <rFont val="Arial"/>
        <family val="2"/>
      </rPr>
      <t>2</t>
    </r>
    <r>
      <rPr>
        <sz val="11"/>
        <color rgb="FF000000"/>
        <rFont val="Arial"/>
        <family val="2"/>
      </rPr>
      <t>/sg</t>
    </r>
  </si>
  <si>
    <t>Salinidad en partes por mil (gr/L)</t>
  </si>
  <si>
    <t xml:space="preserve">Therm Exel. "Physical characteristics of water (at the atmospheric pressure)". 2.003.   </t>
  </si>
  <si>
    <t>Metcalf &amp; Eddy. “Wastewater Engineering. Treatment and Reuse”. Mc Graw Hill.            4ª Edición, 2.003.</t>
  </si>
  <si>
    <t>https://www.thermexcel.com/english/tables/eau_atm.htm</t>
  </si>
  <si>
    <t xml:space="preserve">Tasa de Transferencia de Oxígeno por Aireación por Chorros </t>
  </si>
  <si>
    <t>Información del Fabricante</t>
  </si>
  <si>
    <t>Coeficiente de Pérdidas en la Valvula de Flotador</t>
  </si>
  <si>
    <t>Diámetro de Valvula de Flotador (pg)</t>
  </si>
  <si>
    <t>Diámetro del Orificio</t>
  </si>
  <si>
    <t>Cálculos del Coeficiente de Pérdidas Km en la Valvula de Flotador</t>
  </si>
  <si>
    <t>Diámetro de Válvula</t>
  </si>
  <si>
    <t xml:space="preserve">Caída de Presión </t>
  </si>
  <si>
    <t>Area seccional</t>
  </si>
  <si>
    <t>Velocidad</t>
  </si>
  <si>
    <t>Coeficiente Km</t>
  </si>
  <si>
    <t>Promedio del Coeficiente de Perdidas Km:</t>
  </si>
  <si>
    <t>Total Cabeza de Bombeo</t>
  </si>
  <si>
    <t>Kw-h /año</t>
  </si>
  <si>
    <t>No de Valvulas de Flotador</t>
  </si>
  <si>
    <t>Valores de 1,1.5,2 ó 3</t>
  </si>
  <si>
    <t>Tabla "Válvula Flotador"</t>
  </si>
  <si>
    <t>Diámetro del Orificio de Valvula e Flotador</t>
  </si>
  <si>
    <t>Coeficiente de Perdidas en Válvula de Flotador</t>
  </si>
  <si>
    <t>Km</t>
  </si>
  <si>
    <t>Control en Válvula de Salida</t>
  </si>
  <si>
    <t>Carga de Carbono de Salida</t>
  </si>
  <si>
    <t>Variación Máxima de Niveles en el Tanque por Bombeo del Ciclo</t>
  </si>
  <si>
    <t>Deposito de Sedimentos asumido</t>
  </si>
  <si>
    <t>Diámetro del Lodo</t>
  </si>
  <si>
    <t>Densidad Relativa del Lodo de Biopelículas</t>
  </si>
  <si>
    <t>Tiempo de Decantación de Lodos</t>
  </si>
  <si>
    <t>ta</t>
  </si>
  <si>
    <t>Profundiad Máxima en el Tanque</t>
  </si>
  <si>
    <t>No de Bombas</t>
  </si>
  <si>
    <t>Altura de Volumen tratado en el Ciclo</t>
  </si>
  <si>
    <t>Volumen Total de Bioportadores en la Planta</t>
  </si>
  <si>
    <t>1- Aireación con Llenado</t>
  </si>
  <si>
    <t>2- Reposo con Decantación</t>
  </si>
  <si>
    <t>Altura para Almacenamiento para Regulación Diaria</t>
  </si>
  <si>
    <t xml:space="preserve">Volumen de Regulación </t>
  </si>
  <si>
    <t>Altura de Almacenamiento</t>
  </si>
  <si>
    <t>Actividad Anammox Específica de Biopelícula Máxima</t>
  </si>
  <si>
    <t>SAA</t>
  </si>
  <si>
    <t>grN/m2-día</t>
  </si>
  <si>
    <t>Factor de Uilización de la Biopelícula</t>
  </si>
  <si>
    <t>C/N</t>
  </si>
  <si>
    <t>Jules B. van Lier et al (Ref. E-10)</t>
  </si>
  <si>
    <t>CICLO DE OPERACIÓN DEL RSB</t>
  </si>
  <si>
    <t>Pérdidas:</t>
  </si>
  <si>
    <t xml:space="preserve">Material </t>
  </si>
  <si>
    <t>PVC</t>
  </si>
  <si>
    <r>
      <t>Coeficiente C</t>
    </r>
    <r>
      <rPr>
        <vertAlign val="subscript"/>
        <sz val="11"/>
        <color rgb="FF000000"/>
        <rFont val="Arial"/>
        <family val="2"/>
      </rPr>
      <t>HW</t>
    </r>
    <r>
      <rPr>
        <sz val="11"/>
        <color rgb="FF000000"/>
        <rFont val="Arial"/>
        <family val="2"/>
        <charset val="1"/>
      </rPr>
      <t>:</t>
    </r>
  </si>
  <si>
    <t xml:space="preserve">Caudal </t>
  </si>
  <si>
    <t>Diametro</t>
  </si>
  <si>
    <t xml:space="preserve">Velocidad Media </t>
  </si>
  <si>
    <t>Cantidad</t>
  </si>
  <si>
    <t>Tee  con salida lateral</t>
  </si>
  <si>
    <t>PEAD</t>
  </si>
  <si>
    <t>Tee con salida lateral</t>
  </si>
  <si>
    <t>Tubería de Distribución</t>
  </si>
  <si>
    <r>
      <t>Coeficiente C</t>
    </r>
    <r>
      <rPr>
        <vertAlign val="subscript"/>
        <sz val="11"/>
        <color rgb="FF000000"/>
        <rFont val="Arial"/>
        <family val="2"/>
      </rPr>
      <t>HW</t>
    </r>
    <r>
      <rPr>
        <sz val="11"/>
        <color rgb="FF000000"/>
        <rFont val="Arial"/>
        <family val="2"/>
      </rPr>
      <t xml:space="preserve"> =</t>
    </r>
  </si>
  <si>
    <t>Caudal Inicial</t>
  </si>
  <si>
    <t>Longitud de la Línea</t>
  </si>
  <si>
    <t>Tramo</t>
  </si>
  <si>
    <t>Diámetro D</t>
  </si>
  <si>
    <t>Caudal Q</t>
  </si>
  <si>
    <t>Pérdidas hf</t>
  </si>
  <si>
    <t>Numero de Tuberías</t>
  </si>
  <si>
    <t xml:space="preserve">Remoción de carga orgánica </t>
  </si>
  <si>
    <t>No de Unidades</t>
  </si>
  <si>
    <t>Frecuencia de Purga de Lodos por Unidad</t>
  </si>
  <si>
    <t>Andreas Bertino (Ref. E-14)</t>
  </si>
  <si>
    <t>Volumen de Bioportadores para Proceso Anammox</t>
  </si>
  <si>
    <t>Volumen de Bioportadores para Remoción de Carbono</t>
  </si>
  <si>
    <t>Altura de la Capa de Bioportadores Hb</t>
  </si>
  <si>
    <r>
      <t>gr NH</t>
    </r>
    <r>
      <rPr>
        <vertAlign val="subscript"/>
        <sz val="11"/>
        <color rgb="FF000000"/>
        <rFont val="Arial"/>
        <family val="2"/>
      </rPr>
      <t>4</t>
    </r>
    <r>
      <rPr>
        <sz val="11"/>
        <color rgb="FF000000"/>
        <rFont val="Arial"/>
        <family val="2"/>
        <charset val="1"/>
      </rPr>
      <t>/m</t>
    </r>
    <r>
      <rPr>
        <vertAlign val="superscript"/>
        <sz val="11"/>
        <color rgb="FF000000"/>
        <rFont val="Arial"/>
        <family val="2"/>
      </rPr>
      <t>2</t>
    </r>
    <r>
      <rPr>
        <sz val="11"/>
        <color rgb="FF000000"/>
        <rFont val="Arial"/>
        <family val="2"/>
        <charset val="1"/>
      </rPr>
      <t>*día</t>
    </r>
  </si>
  <si>
    <t>Remocion Anaeróbica de Carga por Digestión Anaeróbica</t>
  </si>
  <si>
    <t>Estequiometría Ecuación C-2</t>
  </si>
  <si>
    <t>Estequiometría Ecuaciones E-9 y E-10</t>
  </si>
  <si>
    <t>Concentración de O2  en el Tanque</t>
  </si>
  <si>
    <t xml:space="preserve">Largo </t>
  </si>
  <si>
    <t>Velocidad Ascencional en el Filtro Anaerobico Flotante durante Bombeo</t>
  </si>
  <si>
    <t>Hoja de Planta de Tratamiento</t>
  </si>
  <si>
    <r>
      <t>D</t>
    </r>
    <r>
      <rPr>
        <sz val="11"/>
        <color theme="1"/>
        <rFont val="Arial"/>
        <family val="2"/>
      </rPr>
      <t>DBO</t>
    </r>
  </si>
  <si>
    <t>Coeficiente de Producción de Lodos</t>
  </si>
  <si>
    <t xml:space="preserve">Constante de Declinación Endógena </t>
  </si>
  <si>
    <t>1/día</t>
  </si>
  <si>
    <t>Ideam- UTP-Cinara (Ref. F-3)</t>
  </si>
  <si>
    <t>Días</t>
  </si>
  <si>
    <t>Ecuación F-5</t>
  </si>
  <si>
    <t>Ps</t>
  </si>
  <si>
    <t>R. Praba Rajathi. (Ref. E-3)</t>
  </si>
  <si>
    <t>Wen-Ru Liu et al (Ref. E-29)</t>
  </si>
  <si>
    <t>Figura D-3. Andreas Bertino. (Ref. E -13)</t>
  </si>
  <si>
    <t>Tiempo de Retención Hidráulica Mínima</t>
  </si>
  <si>
    <t>Tiempo de Retención Hidráulica Calculado</t>
  </si>
  <si>
    <t xml:space="preserve"> Tabla 14-7. Metcalf&amp;Eddy. (Ref. E-7)</t>
  </si>
  <si>
    <t>Tabla C-1. Valores Máximos de la Tasa de Remoción de Nitrógeno y de Carga Orgánica Superficial en Función del Oxígeno Disuelto</t>
  </si>
  <si>
    <t>SARR máximo</t>
  </si>
  <si>
    <t>SALR orgánica máxima</t>
  </si>
  <si>
    <r>
      <t>grNH</t>
    </r>
    <r>
      <rPr>
        <vertAlign val="subscript"/>
        <sz val="11"/>
        <color theme="1"/>
        <rFont val="Arial"/>
        <family val="2"/>
      </rPr>
      <t>4</t>
    </r>
    <r>
      <rPr>
        <sz val="11"/>
        <color theme="1"/>
        <rFont val="Arial"/>
        <family val="2"/>
      </rPr>
      <t>/m</t>
    </r>
    <r>
      <rPr>
        <vertAlign val="superscript"/>
        <sz val="11"/>
        <color theme="1"/>
        <rFont val="Arial"/>
        <family val="2"/>
      </rPr>
      <t>2</t>
    </r>
    <r>
      <rPr>
        <sz val="11"/>
        <color theme="1"/>
        <rFont val="Arial"/>
        <family val="2"/>
      </rPr>
      <t>-día</t>
    </r>
  </si>
  <si>
    <r>
      <t>grDBO</t>
    </r>
    <r>
      <rPr>
        <vertAlign val="subscript"/>
        <sz val="11"/>
        <color theme="1"/>
        <rFont val="Arial"/>
        <family val="2"/>
      </rPr>
      <t>5</t>
    </r>
    <r>
      <rPr>
        <sz val="11"/>
        <color theme="1"/>
        <rFont val="Arial"/>
        <family val="2"/>
      </rPr>
      <t>/m</t>
    </r>
    <r>
      <rPr>
        <vertAlign val="superscript"/>
        <sz val="11"/>
        <color theme="1"/>
        <rFont val="Arial"/>
        <family val="2"/>
      </rPr>
      <t>2</t>
    </r>
    <r>
      <rPr>
        <sz val="11"/>
        <color theme="1"/>
        <rFont val="Arial"/>
        <family val="2"/>
      </rPr>
      <t>-día</t>
    </r>
  </si>
  <si>
    <t>Tabla "Nitrificación"</t>
  </si>
  <si>
    <t>Carga Orgánica Superficial en Bioportadores Máxima (Surface Area Load Rate) requerida para Nitrificación Autótrofa</t>
  </si>
  <si>
    <t xml:space="preserve">SALR  </t>
  </si>
  <si>
    <r>
      <t>gr DBO/m</t>
    </r>
    <r>
      <rPr>
        <vertAlign val="superscript"/>
        <sz val="11"/>
        <color rgb="FF000000"/>
        <rFont val="Arial"/>
        <family val="2"/>
      </rPr>
      <t>2</t>
    </r>
    <r>
      <rPr>
        <sz val="11"/>
        <color rgb="FF000000"/>
        <rFont val="Arial"/>
        <family val="2"/>
        <charset val="1"/>
      </rPr>
      <t>*día</t>
    </r>
  </si>
  <si>
    <t>Jairo Alberto Romero (Ref. F-2)</t>
  </si>
  <si>
    <t>Yn</t>
  </si>
  <si>
    <t>Pn</t>
  </si>
  <si>
    <t>Kg VSS/Kg N removido</t>
  </si>
  <si>
    <t xml:space="preserve">Producción de Lodos Amoniacales con Base Seca </t>
  </si>
  <si>
    <t>kg SSV/día</t>
  </si>
  <si>
    <t xml:space="preserve">Cantidad Total de Lodos con Base Seca </t>
  </si>
  <si>
    <t>Ps+Pn</t>
  </si>
  <si>
    <t>Lawrence K. Wang et al, (Ref. F-4)  . Figura F-6</t>
  </si>
  <si>
    <t>Profundidad de los Lodos</t>
  </si>
  <si>
    <t>Capítulo F-2.6. Diseño de Lechos de Secado</t>
  </si>
  <si>
    <t>Tiempo de Etapa de Decantación y Secado</t>
  </si>
  <si>
    <t>Volumen de Lodos y Agua por Módulo</t>
  </si>
  <si>
    <t>Lawrence K. Wang et al, (Ref. F-4),  Numeral 6,4</t>
  </si>
  <si>
    <t>Contenido a Sólidos a Alcanzar con Bombeo</t>
  </si>
  <si>
    <t>30 a 40%</t>
  </si>
  <si>
    <t>Volumen de Agua a Extraer</t>
  </si>
  <si>
    <t>Caudal de Operación de la Bomba</t>
  </si>
  <si>
    <t>Factor de Operación de la Bomba</t>
  </si>
  <si>
    <t>Tiempo de Drenaje de Lodos con Bombeo</t>
  </si>
  <si>
    <t>Presion de Succión de Bomba  Especificada</t>
  </si>
  <si>
    <t>Altura del Sifonaje</t>
  </si>
  <si>
    <t>Presion de Succión en Lecho de Secado</t>
  </si>
  <si>
    <t>Gradiente Teorico de Filtración por Gravedad</t>
  </si>
  <si>
    <t>Peso del Lodo Seco por Jornada</t>
  </si>
  <si>
    <t>https://www.engineeringtoolbox.com/density-materials-d_1652.html</t>
  </si>
  <si>
    <t>Densidad de la Arena</t>
  </si>
  <si>
    <t xml:space="preserve">gr/cm3 </t>
  </si>
  <si>
    <t>Altura de la Capa de Arena Removida</t>
  </si>
  <si>
    <t>Volúmen de la Arena Extraída a Reponer</t>
  </si>
  <si>
    <t xml:space="preserve">Peso de la Arena Extraída por Jornada  </t>
  </si>
  <si>
    <t>Peso Total de Solidos Secos Extraído por Jornada</t>
  </si>
  <si>
    <t>Peso del Agua Remanente</t>
  </si>
  <si>
    <t>Peso Total de Biosólido Extraído por Jornada</t>
  </si>
  <si>
    <t xml:space="preserve">Tabla F-3.  Lawrence K. Wang. (Ref. F-4.) </t>
  </si>
  <si>
    <t>Tasa de Aplicación Máxima</t>
  </si>
  <si>
    <t>Kg sólidos/m2-año</t>
  </si>
  <si>
    <t xml:space="preserve">Calculo de Lecho de Secado de Lodos </t>
  </si>
  <si>
    <t>Area de Módulo</t>
  </si>
  <si>
    <t>Area de Módulo Requerida</t>
  </si>
  <si>
    <t>Area de Lechos Total</t>
  </si>
  <si>
    <t>Hoja "Agua-T(°C)"</t>
  </si>
  <si>
    <t>Hoja "Planta USA"</t>
  </si>
  <si>
    <t>Planos de Diseño</t>
  </si>
  <si>
    <t xml:space="preserve"> Andrea Bertino. (Ref. C-4). Fig. C-9.</t>
  </si>
  <si>
    <t>Fig. D-3. Andrea Bertino. (Ref. E-13)</t>
  </si>
  <si>
    <t>Hvf</t>
  </si>
  <si>
    <t>Funcion Objetivo: Valor de Hvf</t>
  </si>
  <si>
    <t>Calcullar con Función Objetivo</t>
  </si>
  <si>
    <t>Capacidad de Cada Valvula de Flotador</t>
  </si>
  <si>
    <t>Capacidad Total de las Valvulas de Flotador</t>
  </si>
  <si>
    <t>Proporción de Bioportadores en Zona Aireada</t>
  </si>
  <si>
    <t>Remoción SARR Máxima en Bioportadores para Nitrificación Parcial</t>
  </si>
  <si>
    <t>tp</t>
  </si>
  <si>
    <t>Hoja "Parrilla Nitrificación Parcial"</t>
  </si>
  <si>
    <t>Volumen tratado por Ciclo</t>
  </si>
  <si>
    <t>Adición de Oxigeno Disuelto por Ciclo de Bombeo</t>
  </si>
  <si>
    <t>gr O2/m3</t>
  </si>
  <si>
    <t>grNH4/m3</t>
  </si>
  <si>
    <t>Cantidad de O2 requerido por m3</t>
  </si>
  <si>
    <t>Tasa de Recirculación del Agua Requerida</t>
  </si>
  <si>
    <t>Volumen a Bombeo de Aireación por Ciclo</t>
  </si>
  <si>
    <t>m3/ciclo</t>
  </si>
  <si>
    <t>Volumen de Retorno de Lodos por  Ciclo</t>
  </si>
  <si>
    <t>Area de Biopelícula  Requerida</t>
  </si>
  <si>
    <t>grNH4/Ciclo</t>
  </si>
  <si>
    <t>gr O2/Ciclo</t>
  </si>
  <si>
    <r>
      <t>gr NH</t>
    </r>
    <r>
      <rPr>
        <vertAlign val="subscript"/>
        <sz val="11"/>
        <color rgb="FF000000"/>
        <rFont val="Arial"/>
        <family val="2"/>
      </rPr>
      <t>4</t>
    </r>
    <r>
      <rPr>
        <sz val="11"/>
        <color rgb="FF000000"/>
        <rFont val="Arial"/>
        <family val="2"/>
        <charset val="1"/>
      </rPr>
      <t>/m</t>
    </r>
    <r>
      <rPr>
        <vertAlign val="superscript"/>
        <sz val="11"/>
        <color rgb="FF000000"/>
        <rFont val="Arial"/>
        <family val="2"/>
      </rPr>
      <t>2</t>
    </r>
    <r>
      <rPr>
        <sz val="11"/>
        <color rgb="FF000000"/>
        <rFont val="Arial"/>
        <family val="2"/>
        <charset val="1"/>
      </rPr>
      <t>*ciclo</t>
    </r>
  </si>
  <si>
    <t xml:space="preserve">Volumen de Bioportadores en RSB </t>
  </si>
  <si>
    <t>Area del RSB</t>
  </si>
  <si>
    <t>Calculo del RSB</t>
  </si>
  <si>
    <t>Altura de Volumen de Retorno de Lodos</t>
  </si>
  <si>
    <t>Hr</t>
  </si>
  <si>
    <t>Variación Total del Nivel en el RSB</t>
  </si>
  <si>
    <t>Tasa de Transferencia de Oxígeno Disuelto por Parrilla</t>
  </si>
  <si>
    <t>Tasa de Transferencia de Oxígeno Disuelto Total</t>
  </si>
  <si>
    <t>Concentración de Nitrogeno Amoniacal a Remover</t>
  </si>
  <si>
    <t>Nivel del Agua sobre Valvula de Flotador (Pérdidas en Tuberia)</t>
  </si>
  <si>
    <t>Caudal Asumido en las Valvulas de Flotador</t>
  </si>
  <si>
    <t>Tiempo Total del Ciclo Requerido</t>
  </si>
  <si>
    <t>Tanque UASB Híbrido</t>
  </si>
  <si>
    <t>No Total  de Parrillas</t>
  </si>
  <si>
    <t>Tiempo Total del Ciclo</t>
  </si>
  <si>
    <t>Consumo de Energía Específico (por m3 de agua tratada)</t>
  </si>
  <si>
    <t>No de Parrillas</t>
  </si>
  <si>
    <t>Caudal Total de Aireación</t>
  </si>
  <si>
    <t>Caudal de Diseño de cada Bomba</t>
  </si>
  <si>
    <t xml:space="preserve">Pérdidas en Tuberías </t>
  </si>
  <si>
    <t>Parrilla de Aireación</t>
  </si>
  <si>
    <t>Separación entre Ramales</t>
  </si>
  <si>
    <t>Longitud de la Parrilla</t>
  </si>
  <si>
    <t>Caudal Total</t>
  </si>
  <si>
    <t>Tubería de Descarga</t>
  </si>
  <si>
    <t>Tubería de Succión</t>
  </si>
  <si>
    <t>Codo de radio corto</t>
  </si>
  <si>
    <t>Tabla B. 6,30, RAS</t>
  </si>
  <si>
    <t>Total Pérdidas:</t>
  </si>
  <si>
    <t>TUBERÍA DE AIREACIÓN</t>
  </si>
  <si>
    <t>Tabla "Tubería de Aireación"</t>
  </si>
  <si>
    <t>Tuberia de Salida del Filtro Flotante</t>
  </si>
  <si>
    <t>Tuberia hasta Válvula de Flotador</t>
  </si>
  <si>
    <t xml:space="preserve">Caudal  </t>
  </si>
  <si>
    <t>Codo  de radio corto</t>
  </si>
  <si>
    <t>Valvula de Compuerta Abierta</t>
  </si>
  <si>
    <t>Válvula de Flotador</t>
  </si>
  <si>
    <t>Diametro del Orificio</t>
  </si>
  <si>
    <t>Coeficiente de Pérdidas</t>
  </si>
  <si>
    <t>Perdidas de Cabeza en la Válvula</t>
  </si>
  <si>
    <t>Producción de Lodos Organicos con Base Seca</t>
  </si>
  <si>
    <t>Carga Diaria de NH4 a Remover</t>
  </si>
  <si>
    <t>Carga de Nitrogeno a Remover</t>
  </si>
  <si>
    <t>kg NH3/día</t>
  </si>
  <si>
    <t>Area de Biopelícula Requerida por Carga de Nitrógeno</t>
  </si>
  <si>
    <t>Volumen Total de Bioportadores en Tanque Anaeróbico</t>
  </si>
  <si>
    <t>Proceso Anammox</t>
  </si>
  <si>
    <t>Numero de Parrillas por Línea</t>
  </si>
  <si>
    <t>No de Parrillas por Línea</t>
  </si>
  <si>
    <t>Carga Orgánica Especificada en Bioportadores  de RSB                     SALR</t>
  </si>
  <si>
    <t>Ecuación E-13. A. Malovanyy et al. (Ref. E-33)</t>
  </si>
  <si>
    <t>Jairo Alberto Romero (Ref. D-13). Ec.5,8</t>
  </si>
  <si>
    <t>Hoja "Válvula de Flotador"</t>
  </si>
  <si>
    <t>Ecuación F-11</t>
  </si>
  <si>
    <t>Ecuación F-12</t>
  </si>
  <si>
    <t>Numeral F-5,4</t>
  </si>
  <si>
    <t>Valvula de cheque Bola o Cortina</t>
  </si>
  <si>
    <t>Separación entre Parrillas</t>
  </si>
  <si>
    <t>Longitud Inicial</t>
  </si>
  <si>
    <t xml:space="preserve">Masashi Takekawa (Ref. E-20) </t>
  </si>
  <si>
    <t>Eficiencia Máxima en Remocón de Nitrógeno Amoniacal</t>
  </si>
  <si>
    <t>Separación Minima entre Parrillas</t>
  </si>
  <si>
    <t>Figura A-13</t>
  </si>
  <si>
    <t>Longitud media del Chorro</t>
  </si>
  <si>
    <t>Ecuación A -11, Cap. A-3</t>
  </si>
  <si>
    <t>Ecuación A-4, Cap A-1</t>
  </si>
  <si>
    <t>Metcalf &amp; Eddy. (Ref. A-1), Cap. A-1</t>
  </si>
  <si>
    <t xml:space="preserve">Mazzei (Ref. A-15), Cap, A-4 </t>
  </si>
  <si>
    <t>Ecuación A-3, Cap A-1</t>
  </si>
  <si>
    <t>Ecuación A-2, Cap. A-1</t>
  </si>
  <si>
    <t>Ecuación A-9  de Andrzej Bin  (Ref. A-9), Cap. A-3</t>
  </si>
  <si>
    <t>Figura A-9, Jie Yin Jing  (Ref. A-10), Cap. A-3</t>
  </si>
  <si>
    <t>Ecuación A-10, Cap. A-3</t>
  </si>
  <si>
    <t xml:space="preserve">Tiempo de Aireación por Ciclo                        </t>
  </si>
  <si>
    <t xml:space="preserve">Tiempo de Reposo Sobrante por Ciclo                        </t>
  </si>
  <si>
    <t>Tuberia de Salida de Lodos</t>
  </si>
  <si>
    <t>3- Salida del Efluente</t>
  </si>
  <si>
    <t>4- Salida de los Lodos</t>
  </si>
  <si>
    <t>No de Valvulas de Solenoide</t>
  </si>
  <si>
    <t>Diámetro de Valvulas</t>
  </si>
  <si>
    <t>Tuberia</t>
  </si>
  <si>
    <t>Manguera</t>
  </si>
  <si>
    <t xml:space="preserve">Perdidas de Cabeza </t>
  </si>
  <si>
    <t>Caudal  Total</t>
  </si>
  <si>
    <t>No de Lineas</t>
  </si>
  <si>
    <t xml:space="preserve">u </t>
  </si>
  <si>
    <t>Valvula de Solenoide Abierta</t>
  </si>
  <si>
    <t>Hvl</t>
  </si>
  <si>
    <t>Funcion Objetivo: Valor de Hvl</t>
  </si>
  <si>
    <t>Capacidad de Tubería de Lodos</t>
  </si>
  <si>
    <t>Tiempo de Salida de Efluente</t>
  </si>
  <si>
    <t>Tiempo de Salida de  los Lodos</t>
  </si>
  <si>
    <t>Volúmen de Lodos a Evacuar</t>
  </si>
  <si>
    <t>Tiempo de Salida de los Lodos</t>
  </si>
  <si>
    <t>Diferencia de Niveles (Pérdidas en Tubería)</t>
  </si>
  <si>
    <t>tl</t>
  </si>
  <si>
    <t>Ecuación A-16  Van de Donk (Ref. A-7) Cap. A-3.</t>
  </si>
  <si>
    <t>Biopelícula solo por una Cara</t>
  </si>
  <si>
    <t>Eficiencia Remoción de Nitrogeno Amoniacal  Asumida</t>
  </si>
  <si>
    <t>Longitud entre Soportes de Parrilla</t>
  </si>
  <si>
    <t xml:space="preserve">No de Lineas </t>
  </si>
  <si>
    <t>Tasa de Produccion de Lodos Amoniacales en Procesos Anammox</t>
  </si>
  <si>
    <t>N.sg/m2</t>
  </si>
  <si>
    <t>Separación entre Parrillas adoptada</t>
  </si>
  <si>
    <t>Fuentes: Harlan H. Bengtson(Ref. C-24) y Bjorn Rusten et al. (Ref. C-23)</t>
  </si>
  <si>
    <t>Ecuación A-17</t>
  </si>
  <si>
    <t xml:space="preserve">Información de Entrada </t>
  </si>
  <si>
    <t>Información de Salida</t>
  </si>
  <si>
    <t>Carga Orgánica Volumétrica  OLR &lt;1,15</t>
  </si>
  <si>
    <t>Relación C/N Máxima para Proceso Anammox estricto</t>
  </si>
  <si>
    <t>Relación C/N Máxima para Procesos SAD o SNAD</t>
  </si>
  <si>
    <t>INTRUCCIONES SOBRE EL CÁLCULO ALTERNO</t>
  </si>
  <si>
    <t xml:space="preserve">Para revertir esta operación, se coloca en la casilla  del parámetro modificado el valor correspondiente </t>
  </si>
  <si>
    <t xml:space="preserve">Para hacer la gráfica de un parámetro contra divesas variables, se ejecutan las siguientes instrucciones: </t>
  </si>
  <si>
    <t xml:space="preserve">- Los valores del parámetro van en la abscisa o eje horizontal, y los de las variables en las ordenadas. </t>
  </si>
  <si>
    <t>- Se rellena la fila a la derecha del parámetro con valores que se incrementan una cantidad fija.</t>
  </si>
  <si>
    <t xml:space="preserve">- Al finalizar, se copian los valores de la abcisa y las ordenadas, y se pegan traspuestos en otra hoja. </t>
  </si>
  <si>
    <t>Pérdidas Totales:</t>
  </si>
  <si>
    <t xml:space="preserve">         Pérdidas :</t>
  </si>
  <si>
    <t>Pérdidas</t>
  </si>
  <si>
    <t>En el cálculo alterno es necesario aplicar la Función Objetivo en los parámetros indicados.</t>
  </si>
  <si>
    <t>tuberías y estructuras.</t>
  </si>
  <si>
    <t>Para incorporar los cambios en el cálculo original, se copian en este los datos del Cálculo Alterno,</t>
  </si>
  <si>
    <t>Esta operación permite analizar el cambio de las variables calculadas al cambiar algunos parámetros.</t>
  </si>
  <si>
    <t>El cálculo alterno se realiza modificando el valor de uno o varios  parámetros en esta columna.</t>
  </si>
  <si>
    <t>Los parámetros que se puden modificar corresponden a la Información de Entrada.</t>
  </si>
  <si>
    <t xml:space="preserve">El color de este parámetro se cambia a un color distintivo para diferenciarlo. </t>
  </si>
  <si>
    <t xml:space="preserve">Cuando el cambio en el parámetro afecta el caudal, podrían requerirse cambios en dimensiones de </t>
  </si>
  <si>
    <t>- Esta operación se repite para todos los valores del parámetro.</t>
  </si>
  <si>
    <t>- En el Cálculo Alterno se coloca sucesivamente cada valor del parámetro, y los valores de las variables</t>
  </si>
  <si>
    <t xml:space="preserve">  de interés se copian en la misma fila, y en la columna correspondiente al valor del parámetro.</t>
  </si>
  <si>
    <t xml:space="preserve">Se puede tener en la abscisa una variable (p.e. caudal) que sea directamente proporcional al parámetro </t>
  </si>
  <si>
    <t>que se cambia (p.e. velocidad de los chorros)</t>
  </si>
  <si>
    <t>- Se realiza la gráfica a partir de las columnas de la abcisa y de las ordenadas.</t>
  </si>
  <si>
    <t>y luego se quita el color distitivo en este último.</t>
  </si>
  <si>
    <t>Hoja "Parrilla de Nitrificación Parcial"</t>
  </si>
  <si>
    <t>Fco</t>
  </si>
  <si>
    <t>Ecuación A-8</t>
  </si>
  <si>
    <t xml:space="preserve">   Masashi Takekawa (Ref. E-20) y Michela Langone (Ref. E-21)</t>
  </si>
  <si>
    <t>Notas</t>
  </si>
  <si>
    <t>OUR</t>
  </si>
  <si>
    <t>CO</t>
  </si>
  <si>
    <t>a la columna E, y luego se quita el color distintivo.</t>
  </si>
  <si>
    <t>Es importante verificar el cumplimento de las condiciones indIcadas en la columna 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</si>
</sst>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2">
    <numFmt numFmtId="164" formatCode="_(* #,##0.00_);_(* \(#,##0.00\);_(* &quot;-&quot;??_);_(@_)"/>
    <numFmt numFmtId="165" formatCode="_-* #,##0.00\ _€_-;\-* #,##0.00\ _€_-;_-* &quot;-&quot;??\ _€_-;_-@_-"/>
    <numFmt numFmtId="166" formatCode="0.000"/>
    <numFmt numFmtId="167" formatCode="0.0"/>
    <numFmt numFmtId="168" formatCode="0.0%"/>
    <numFmt numFmtId="169" formatCode="_ * #,##0.00_ ;_ * \-#,##0.00_ ;_ * &quot;-&quot;??_ ;_ @_ "/>
    <numFmt numFmtId="170" formatCode="_ * #.##0.00_ ;_ * \-#.##0.00_ ;_ * &quot;-&quot;??_ ;_ @_ "/>
    <numFmt numFmtId="171" formatCode="_ * #,##0_ ;_ * \-#,##0_ ;_ * &quot;-&quot;_ ;_ @_ "/>
    <numFmt numFmtId="172" formatCode="0.0000"/>
    <numFmt numFmtId="173" formatCode="_-* #,##0\ _€_-;\-* #,##0\ _€_-;_-* &quot;-&quot;??\ _€_-;_-@_-"/>
    <numFmt numFmtId="174" formatCode="_-* #,##0.000\ _€_-;\-* #,##0.000\ _€_-;_-* &quot;-&quot;??\ _€_-;_-@_-"/>
    <numFmt numFmtId="175" formatCode="_-* #,##0.0000\ _€_-;\-* #,##0.0000\ _€_-;_-* &quot;-&quot;??\ _€_-;_-@_-"/>
    <numFmt numFmtId="176" formatCode="_-* #,##0.0000\ _€_-;\-* #,##0.0000\ _€_-;_-* &quot;-&quot;???\ _€_-;_-@_-"/>
    <numFmt numFmtId="177" formatCode="_ [$$-240A]\ * #,##0_ ;_ [$$-240A]\ * \-#,##0_ ;_ [$$-240A]\ * &quot;-&quot;_ ;_ @_ "/>
    <numFmt numFmtId="178" formatCode="_ * #,##0_ ;_ * \-#,##0_ ;_ * &quot;-&quot;??_ ;_ @_ "/>
    <numFmt numFmtId="179" formatCode="_([$$-240A]\ * #,##0_);_([$$-240A]\ * \(#,##0\);_([$$-240A]\ * &quot;-&quot;??_);_(@_)"/>
    <numFmt numFmtId="180" formatCode="_(* #,##0.00_);_(* \(#,##0.00\);_(* &quot;-&quot;???_);_(@_)"/>
    <numFmt numFmtId="181" formatCode="0.000000"/>
    <numFmt numFmtId="182" formatCode="_-* #,##0.00\ _€_-;\-* #,##0.00\ _€_-;_-* \-??\ _€_-;_-@_-"/>
    <numFmt numFmtId="183" formatCode="_(* #,##0_);_(* \(#,##0\);_(* &quot;-&quot;??_);_(@_)"/>
    <numFmt numFmtId="184" formatCode="_(* #,##0.000_);_(* \(#,##0.000\);_(* &quot;-&quot;??_);_(@_)"/>
    <numFmt numFmtId="185" formatCode="#,##0.0"/>
  </numFmts>
  <fonts count="4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sz val="7.5"/>
      <color theme="1"/>
      <name val="Verdana"/>
      <family val="2"/>
    </font>
    <font>
      <sz val="11"/>
      <color theme="1"/>
      <name val="Verdana"/>
      <family val="2"/>
    </font>
    <font>
      <b/>
      <i/>
      <sz val="10"/>
      <color rgb="FF0000FF"/>
      <name val="Verdana"/>
      <family val="2"/>
    </font>
    <font>
      <vertAlign val="superscript"/>
      <sz val="7.5"/>
      <color theme="1"/>
      <name val="Verdana"/>
      <family val="2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b/>
      <sz val="12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  <font>
      <sz val="11"/>
      <color rgb="FFFF0000"/>
      <name val="Arial"/>
      <family val="2"/>
    </font>
    <font>
      <b/>
      <sz val="11"/>
      <color rgb="FFFF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name val="Arial"/>
      <family val="2"/>
      <charset val="1"/>
    </font>
    <font>
      <sz val="11"/>
      <name val="Arial"/>
      <family val="2"/>
      <charset val="1"/>
    </font>
    <font>
      <sz val="11"/>
      <color rgb="FF000000"/>
      <name val="Arial"/>
      <family val="2"/>
      <charset val="1"/>
    </font>
    <font>
      <sz val="10"/>
      <name val="Arial"/>
      <family val="2"/>
      <charset val="1"/>
    </font>
    <font>
      <sz val="11"/>
      <color rgb="FF000000"/>
      <name val="Calibri"/>
      <family val="2"/>
      <charset val="1"/>
    </font>
    <font>
      <sz val="11"/>
      <name val="Calibri"/>
      <family val="2"/>
      <charset val="1"/>
    </font>
    <font>
      <b/>
      <sz val="12"/>
      <name val="Arial"/>
      <family val="2"/>
      <charset val="1"/>
    </font>
    <font>
      <sz val="11"/>
      <color rgb="FF000000"/>
      <name val="Arial"/>
      <family val="2"/>
    </font>
    <font>
      <b/>
      <sz val="12"/>
      <name val="Arial"/>
      <family val="2"/>
    </font>
    <font>
      <sz val="11"/>
      <color rgb="FFFF0000"/>
      <name val="Arial"/>
      <family val="2"/>
      <charset val="1"/>
    </font>
    <font>
      <vertAlign val="subscript"/>
      <sz val="11"/>
      <name val="Arial"/>
      <family val="2"/>
    </font>
    <font>
      <b/>
      <sz val="12"/>
      <color rgb="FF000000"/>
      <name val="Calibri"/>
      <family val="2"/>
      <charset val="1"/>
    </font>
    <font>
      <u/>
      <sz val="11"/>
      <color theme="10"/>
      <name val="Calibri"/>
      <family val="2"/>
      <scheme val="minor"/>
    </font>
    <font>
      <b/>
      <sz val="11"/>
      <color rgb="FF000000"/>
      <name val="GreekC"/>
    </font>
    <font>
      <vertAlign val="superscript"/>
      <sz val="11"/>
      <color rgb="FF000000"/>
      <name val="Arial"/>
      <family val="2"/>
    </font>
    <font>
      <vertAlign val="subscript"/>
      <sz val="11"/>
      <color rgb="FF000000"/>
      <name val="Arial"/>
      <family val="2"/>
    </font>
    <font>
      <sz val="10"/>
      <color rgb="FF000000"/>
      <name val="Arial"/>
      <family val="2"/>
    </font>
    <font>
      <b/>
      <sz val="9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GreekC"/>
    </font>
    <font>
      <sz val="10"/>
      <color rgb="FF000000"/>
      <name val="Calibri"/>
      <family val="2"/>
      <charset val="1"/>
    </font>
    <font>
      <vertAlign val="subscript"/>
      <sz val="11"/>
      <color theme="1"/>
      <name val="Arial"/>
      <family val="2"/>
    </font>
    <font>
      <vertAlign val="superscript"/>
      <sz val="11"/>
      <color theme="1"/>
      <name val="Arial"/>
      <family val="2"/>
    </font>
    <font>
      <b/>
      <sz val="12"/>
      <color rgb="FF000000"/>
      <name val="Arial"/>
      <family val="2"/>
    </font>
    <font>
      <b/>
      <sz val="11"/>
      <color rgb="FF00000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BDFFF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D2F9FE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CFF99"/>
        <bgColor rgb="FFCCFFCC"/>
      </patternFill>
    </fill>
    <fill>
      <patternFill patternType="solid">
        <fgColor rgb="FFFBE5D6"/>
        <bgColor rgb="FFFDEADA"/>
      </patternFill>
    </fill>
    <fill>
      <patternFill patternType="solid">
        <fgColor rgb="FFD2F9FE"/>
        <bgColor rgb="FFCCFFFF"/>
      </patternFill>
    </fill>
    <fill>
      <patternFill patternType="solid">
        <fgColor rgb="FFCCFFFF"/>
        <bgColor rgb="FFD2F9FE"/>
      </patternFill>
    </fill>
    <fill>
      <patternFill patternType="solid">
        <fgColor theme="8" tint="0.79998168889431442"/>
        <bgColor rgb="FFDBEEF4"/>
      </patternFill>
    </fill>
    <fill>
      <patternFill patternType="solid">
        <fgColor theme="5" tint="0.79998168889431442"/>
        <bgColor rgb="FFFBE5D6"/>
      </patternFill>
    </fill>
    <fill>
      <patternFill patternType="solid">
        <fgColor rgb="FFFFF2CC"/>
        <bgColor rgb="FFDEEBF7"/>
      </patternFill>
    </fill>
    <fill>
      <patternFill patternType="solid">
        <fgColor rgb="FFFFF2CC"/>
        <bgColor rgb="FFFDEADA"/>
      </patternFill>
    </fill>
    <fill>
      <patternFill patternType="solid">
        <fgColor theme="8" tint="0.79998168889431442"/>
        <bgColor rgb="FFEEEEEE"/>
      </patternFill>
    </fill>
    <fill>
      <patternFill patternType="solid">
        <fgColor theme="0"/>
        <bgColor rgb="FFEBF1DE"/>
      </patternFill>
    </fill>
    <fill>
      <patternFill patternType="solid">
        <fgColor theme="0"/>
        <bgColor rgb="FFEEEEEE"/>
      </patternFill>
    </fill>
    <fill>
      <patternFill patternType="solid">
        <fgColor theme="5" tint="0.79998168889431442"/>
        <bgColor rgb="FFDBEEF4"/>
      </patternFill>
    </fill>
    <fill>
      <patternFill patternType="solid">
        <fgColor theme="5" tint="0.79998168889431442"/>
        <bgColor rgb="FFFDEADA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rgb="FFDAE3F3"/>
      </patternFill>
    </fill>
    <fill>
      <patternFill patternType="solid">
        <fgColor theme="4" tint="0.79998168889431442"/>
        <bgColor rgb="FFDBEEF4"/>
      </patternFill>
    </fill>
    <fill>
      <patternFill patternType="solid">
        <fgColor theme="8" tint="0.79998168889431442"/>
        <bgColor rgb="FFEBF1DE"/>
      </patternFill>
    </fill>
    <fill>
      <patternFill patternType="solid">
        <fgColor theme="8" tint="0.79998168889431442"/>
        <bgColor rgb="FFCCFFFF"/>
      </patternFill>
    </fill>
    <fill>
      <patternFill patternType="solid">
        <fgColor theme="8" tint="0.79998168889431442"/>
        <bgColor rgb="FFD2F9FE"/>
      </patternFill>
    </fill>
    <fill>
      <patternFill patternType="solid">
        <fgColor theme="5" tint="0.79998168889431442"/>
        <bgColor rgb="FFDEEBF7"/>
      </patternFill>
    </fill>
    <fill>
      <patternFill patternType="solid">
        <fgColor rgb="FFCEF8FE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0000CC"/>
      </left>
      <right style="thin">
        <color rgb="FF0000CC"/>
      </right>
      <top style="thin">
        <color rgb="FF0000CC"/>
      </top>
      <bottom style="thin">
        <color rgb="FF0000CC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5" fillId="0" borderId="0"/>
    <xf numFmtId="9" fontId="26" fillId="0" borderId="0" applyBorder="0" applyProtection="0"/>
    <xf numFmtId="0" fontId="34" fillId="0" borderId="0" applyNumberFormat="0" applyFill="0" applyBorder="0" applyAlignment="0" applyProtection="0"/>
  </cellStyleXfs>
  <cellXfs count="855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2" xfId="0" applyBorder="1" applyAlignment="1">
      <alignment wrapText="1"/>
    </xf>
    <xf numFmtId="2" fontId="0" fillId="0" borderId="2" xfId="0" applyNumberFormat="1" applyBorder="1" applyAlignment="1">
      <alignment horizontal="center" wrapText="1"/>
    </xf>
    <xf numFmtId="0" fontId="0" fillId="0" borderId="3" xfId="0" applyBorder="1" applyAlignment="1">
      <alignment wrapText="1"/>
    </xf>
    <xf numFmtId="2" fontId="0" fillId="0" borderId="3" xfId="0" applyNumberFormat="1" applyBorder="1" applyAlignment="1">
      <alignment horizontal="center" wrapText="1"/>
    </xf>
    <xf numFmtId="2" fontId="0" fillId="0" borderId="0" xfId="0" applyNumberFormat="1" applyAlignment="1">
      <alignment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4" xfId="0" applyBorder="1" applyAlignment="1">
      <alignment wrapText="1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3" fillId="0" borderId="0" xfId="0" applyFont="1"/>
    <xf numFmtId="0" fontId="0" fillId="0" borderId="3" xfId="0" applyBorder="1"/>
    <xf numFmtId="0" fontId="3" fillId="0" borderId="0" xfId="0" applyFont="1" applyAlignment="1">
      <alignment wrapText="1"/>
    </xf>
    <xf numFmtId="0" fontId="0" fillId="0" borderId="6" xfId="0" applyBorder="1"/>
    <xf numFmtId="0" fontId="0" fillId="0" borderId="10" xfId="0" applyBorder="1"/>
    <xf numFmtId="0" fontId="3" fillId="0" borderId="10" xfId="0" applyFont="1" applyBorder="1" applyAlignment="1">
      <alignment vertical="center" wrapText="1"/>
    </xf>
    <xf numFmtId="2" fontId="4" fillId="0" borderId="6" xfId="0" applyNumberFormat="1" applyFont="1" applyBorder="1"/>
    <xf numFmtId="0" fontId="4" fillId="0" borderId="5" xfId="0" applyFont="1" applyBorder="1"/>
    <xf numFmtId="0" fontId="4" fillId="0" borderId="4" xfId="0" applyFont="1" applyBorder="1"/>
    <xf numFmtId="1" fontId="4" fillId="0" borderId="6" xfId="0" applyNumberFormat="1" applyFont="1" applyBorder="1"/>
    <xf numFmtId="0" fontId="3" fillId="0" borderId="5" xfId="0" applyFont="1" applyBorder="1"/>
    <xf numFmtId="167" fontId="5" fillId="0" borderId="0" xfId="0" applyNumberFormat="1" applyFont="1"/>
    <xf numFmtId="0" fontId="4" fillId="0" borderId="5" xfId="0" applyFont="1" applyBorder="1" applyAlignment="1">
      <alignment wrapText="1"/>
    </xf>
    <xf numFmtId="0" fontId="4" fillId="0" borderId="0" xfId="0" applyFont="1"/>
    <xf numFmtId="0" fontId="4" fillId="0" borderId="0" xfId="0" applyFont="1" applyAlignment="1">
      <alignment horizontal="left"/>
    </xf>
    <xf numFmtId="0" fontId="5" fillId="0" borderId="0" xfId="0" applyFont="1"/>
    <xf numFmtId="0" fontId="4" fillId="0" borderId="5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4" fillId="0" borderId="6" xfId="0" applyFont="1" applyBorder="1" applyAlignment="1">
      <alignment horizontal="left"/>
    </xf>
    <xf numFmtId="175" fontId="3" fillId="0" borderId="6" xfId="0" applyNumberFormat="1" applyFont="1" applyBorder="1" applyAlignment="1">
      <alignment horizontal="right"/>
    </xf>
    <xf numFmtId="0" fontId="3" fillId="0" borderId="4" xfId="0" applyFont="1" applyBorder="1" applyAlignment="1">
      <alignment horizontal="left"/>
    </xf>
    <xf numFmtId="165" fontId="3" fillId="0" borderId="6" xfId="0" applyNumberFormat="1" applyFont="1" applyBorder="1" applyAlignment="1">
      <alignment horizontal="right"/>
    </xf>
    <xf numFmtId="168" fontId="4" fillId="0" borderId="6" xfId="0" applyNumberFormat="1" applyFont="1" applyBorder="1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right"/>
    </xf>
    <xf numFmtId="0" fontId="0" fillId="0" borderId="10" xfId="0" applyBorder="1" applyAlignment="1">
      <alignment horizontal="left" wrapText="1"/>
    </xf>
    <xf numFmtId="1" fontId="0" fillId="0" borderId="3" xfId="0" applyNumberFormat="1" applyBorder="1" applyAlignment="1">
      <alignment horizontal="center" wrapText="1"/>
    </xf>
    <xf numFmtId="0" fontId="0" fillId="0" borderId="2" xfId="0" applyBorder="1" applyAlignment="1">
      <alignment horizontal="left" wrapText="1"/>
    </xf>
    <xf numFmtId="2" fontId="4" fillId="0" borderId="0" xfId="0" applyNumberFormat="1" applyFont="1"/>
    <xf numFmtId="0" fontId="4" fillId="0" borderId="7" xfId="0" applyFont="1" applyBorder="1" applyAlignment="1">
      <alignment wrapText="1"/>
    </xf>
    <xf numFmtId="0" fontId="8" fillId="3" borderId="15" xfId="0" applyFont="1" applyFill="1" applyBorder="1" applyAlignment="1">
      <alignment vertical="top" wrapText="1"/>
    </xf>
    <xf numFmtId="0" fontId="6" fillId="4" borderId="15" xfId="0" applyFont="1" applyFill="1" applyBorder="1" applyAlignment="1">
      <alignment vertical="top" wrapText="1"/>
    </xf>
    <xf numFmtId="0" fontId="7" fillId="4" borderId="15" xfId="0" applyFont="1" applyFill="1" applyBorder="1" applyAlignment="1">
      <alignment vertical="top" wrapText="1"/>
    </xf>
    <xf numFmtId="0" fontId="9" fillId="4" borderId="15" xfId="0" applyFont="1" applyFill="1" applyBorder="1" applyAlignment="1">
      <alignment vertical="top" wrapText="1"/>
    </xf>
    <xf numFmtId="0" fontId="4" fillId="0" borderId="4" xfId="0" applyFont="1" applyBorder="1" applyAlignment="1">
      <alignment horizontal="left"/>
    </xf>
    <xf numFmtId="2" fontId="11" fillId="0" borderId="6" xfId="0" applyNumberFormat="1" applyFont="1" applyBorder="1"/>
    <xf numFmtId="0" fontId="11" fillId="0" borderId="6" xfId="0" applyFont="1" applyBorder="1"/>
    <xf numFmtId="2" fontId="10" fillId="0" borderId="6" xfId="0" applyNumberFormat="1" applyFont="1" applyBorder="1"/>
    <xf numFmtId="2" fontId="10" fillId="5" borderId="6" xfId="0" applyNumberFormat="1" applyFont="1" applyFill="1" applyBorder="1"/>
    <xf numFmtId="2" fontId="10" fillId="0" borderId="6" xfId="0" quotePrefix="1" applyNumberFormat="1" applyFont="1" applyBorder="1" applyAlignment="1">
      <alignment horizontal="right"/>
    </xf>
    <xf numFmtId="169" fontId="10" fillId="0" borderId="6" xfId="0" applyNumberFormat="1" applyFont="1" applyBorder="1"/>
    <xf numFmtId="169" fontId="10" fillId="5" borderId="6" xfId="0" applyNumberFormat="1" applyFont="1" applyFill="1" applyBorder="1"/>
    <xf numFmtId="2" fontId="10" fillId="0" borderId="6" xfId="0" applyNumberFormat="1" applyFont="1" applyBorder="1" applyAlignment="1">
      <alignment horizontal="right"/>
    </xf>
    <xf numFmtId="0" fontId="11" fillId="5" borderId="4" xfId="0" applyFont="1" applyFill="1" applyBorder="1"/>
    <xf numFmtId="0" fontId="11" fillId="0" borderId="4" xfId="0" applyFont="1" applyBorder="1"/>
    <xf numFmtId="0" fontId="11" fillId="0" borderId="4" xfId="0" applyFont="1" applyBorder="1" applyAlignment="1">
      <alignment horizontal="left"/>
    </xf>
    <xf numFmtId="0" fontId="11" fillId="0" borderId="0" xfId="0" applyFont="1"/>
    <xf numFmtId="0" fontId="11" fillId="0" borderId="0" xfId="0" applyFont="1" applyAlignment="1">
      <alignment horizontal="left"/>
    </xf>
    <xf numFmtId="0" fontId="11" fillId="0" borderId="10" xfId="0" applyFont="1" applyBorder="1"/>
    <xf numFmtId="0" fontId="11" fillId="0" borderId="4" xfId="0" applyFont="1" applyBorder="1" applyAlignment="1">
      <alignment horizontal="center"/>
    </xf>
    <xf numFmtId="0" fontId="11" fillId="5" borderId="4" xfId="0" applyFont="1" applyFill="1" applyBorder="1" applyAlignment="1">
      <alignment horizontal="left"/>
    </xf>
    <xf numFmtId="2" fontId="11" fillId="0" borderId="4" xfId="0" applyNumberFormat="1" applyFont="1" applyBorder="1"/>
    <xf numFmtId="0" fontId="11" fillId="0" borderId="5" xfId="0" applyFont="1" applyBorder="1"/>
    <xf numFmtId="0" fontId="11" fillId="0" borderId="5" xfId="0" applyFont="1" applyBorder="1" applyAlignment="1">
      <alignment vertical="center" wrapText="1"/>
    </xf>
    <xf numFmtId="0" fontId="11" fillId="0" borderId="6" xfId="0" applyFont="1" applyBorder="1" applyAlignment="1">
      <alignment horizontal="center"/>
    </xf>
    <xf numFmtId="166" fontId="10" fillId="2" borderId="6" xfId="0" applyNumberFormat="1" applyFont="1" applyFill="1" applyBorder="1"/>
    <xf numFmtId="1" fontId="11" fillId="0" borderId="6" xfId="0" applyNumberFormat="1" applyFont="1" applyBorder="1"/>
    <xf numFmtId="0" fontId="11" fillId="0" borderId="0" xfId="0" applyFont="1" applyAlignment="1">
      <alignment horizontal="center"/>
    </xf>
    <xf numFmtId="0" fontId="11" fillId="0" borderId="3" xfId="0" applyFont="1" applyBorder="1" applyAlignment="1">
      <alignment horizontal="center"/>
    </xf>
    <xf numFmtId="2" fontId="11" fillId="5" borderId="6" xfId="0" applyNumberFormat="1" applyFont="1" applyFill="1" applyBorder="1"/>
    <xf numFmtId="1" fontId="11" fillId="0" borderId="0" xfId="0" applyNumberFormat="1" applyFont="1"/>
    <xf numFmtId="2" fontId="11" fillId="2" borderId="6" xfId="0" applyNumberFormat="1" applyFont="1" applyFill="1" applyBorder="1"/>
    <xf numFmtId="1" fontId="11" fillId="5" borderId="6" xfId="0" applyNumberFormat="1" applyFont="1" applyFill="1" applyBorder="1"/>
    <xf numFmtId="0" fontId="11" fillId="5" borderId="6" xfId="0" applyFont="1" applyFill="1" applyBorder="1"/>
    <xf numFmtId="9" fontId="11" fillId="5" borderId="6" xfId="0" applyNumberFormat="1" applyFont="1" applyFill="1" applyBorder="1"/>
    <xf numFmtId="10" fontId="11" fillId="0" borderId="6" xfId="0" applyNumberFormat="1" applyFont="1" applyBorder="1"/>
    <xf numFmtId="0" fontId="11" fillId="0" borderId="14" xfId="0" applyFont="1" applyBorder="1"/>
    <xf numFmtId="165" fontId="11" fillId="0" borderId="0" xfId="0" applyNumberFormat="1" applyFont="1" applyAlignment="1">
      <alignment horizontal="right"/>
    </xf>
    <xf numFmtId="165" fontId="11" fillId="0" borderId="6" xfId="0" applyNumberFormat="1" applyFont="1" applyBorder="1" applyAlignment="1">
      <alignment horizontal="right"/>
    </xf>
    <xf numFmtId="165" fontId="11" fillId="0" borderId="0" xfId="0" applyNumberFormat="1" applyFont="1"/>
    <xf numFmtId="174" fontId="11" fillId="0" borderId="6" xfId="0" applyNumberFormat="1" applyFont="1" applyBorder="1" applyAlignment="1">
      <alignment horizontal="right"/>
    </xf>
    <xf numFmtId="169" fontId="11" fillId="0" borderId="6" xfId="0" applyNumberFormat="1" applyFont="1" applyBorder="1"/>
    <xf numFmtId="2" fontId="11" fillId="0" borderId="0" xfId="0" applyNumberFormat="1" applyFont="1"/>
    <xf numFmtId="0" fontId="11" fillId="0" borderId="10" xfId="0" applyFont="1" applyBorder="1" applyAlignment="1">
      <alignment horizontal="center"/>
    </xf>
    <xf numFmtId="4" fontId="11" fillId="0" borderId="6" xfId="0" applyNumberFormat="1" applyFont="1" applyBorder="1"/>
    <xf numFmtId="3" fontId="11" fillId="0" borderId="6" xfId="0" applyNumberFormat="1" applyFont="1" applyBorder="1"/>
    <xf numFmtId="177" fontId="11" fillId="0" borderId="6" xfId="0" applyNumberFormat="1" applyFont="1" applyBorder="1"/>
    <xf numFmtId="0" fontId="11" fillId="0" borderId="14" xfId="0" applyFont="1" applyBorder="1" applyAlignment="1">
      <alignment horizontal="left"/>
    </xf>
    <xf numFmtId="166" fontId="11" fillId="0" borderId="6" xfId="0" applyNumberFormat="1" applyFont="1" applyBorder="1"/>
    <xf numFmtId="2" fontId="11" fillId="0" borderId="6" xfId="0" applyNumberFormat="1" applyFont="1" applyBorder="1" applyAlignment="1">
      <alignment horizontal="right"/>
    </xf>
    <xf numFmtId="0" fontId="13" fillId="0" borderId="0" xfId="0" applyFont="1"/>
    <xf numFmtId="1" fontId="11" fillId="0" borderId="6" xfId="0" applyNumberFormat="1" applyFont="1" applyBorder="1" applyAlignment="1">
      <alignment horizontal="right"/>
    </xf>
    <xf numFmtId="0" fontId="11" fillId="0" borderId="6" xfId="0" applyFont="1" applyBorder="1" applyAlignment="1">
      <alignment horizontal="right"/>
    </xf>
    <xf numFmtId="0" fontId="12" fillId="0" borderId="14" xfId="0" applyFont="1" applyBorder="1"/>
    <xf numFmtId="9" fontId="11" fillId="0" borderId="0" xfId="2" applyFont="1"/>
    <xf numFmtId="0" fontId="11" fillId="0" borderId="5" xfId="0" applyFont="1" applyBorder="1" applyAlignment="1">
      <alignment wrapText="1"/>
    </xf>
    <xf numFmtId="10" fontId="11" fillId="0" borderId="0" xfId="2" applyNumberFormat="1" applyFont="1"/>
    <xf numFmtId="173" fontId="11" fillId="0" borderId="6" xfId="0" applyNumberFormat="1" applyFont="1" applyBorder="1" applyAlignment="1">
      <alignment horizontal="right"/>
    </xf>
    <xf numFmtId="174" fontId="11" fillId="0" borderId="6" xfId="0" applyNumberFormat="1" applyFont="1" applyBorder="1"/>
    <xf numFmtId="175" fontId="11" fillId="0" borderId="6" xfId="0" applyNumberFormat="1" applyFont="1" applyBorder="1" applyAlignment="1">
      <alignment horizontal="right"/>
    </xf>
    <xf numFmtId="176" fontId="11" fillId="0" borderId="6" xfId="0" applyNumberFormat="1" applyFont="1" applyBorder="1"/>
    <xf numFmtId="172" fontId="11" fillId="0" borderId="6" xfId="0" applyNumberFormat="1" applyFont="1" applyBorder="1"/>
    <xf numFmtId="9" fontId="11" fillId="0" borderId="6" xfId="0" applyNumberFormat="1" applyFont="1" applyBorder="1" applyAlignment="1">
      <alignment horizontal="right"/>
    </xf>
    <xf numFmtId="11" fontId="11" fillId="0" borderId="6" xfId="0" applyNumberFormat="1" applyFont="1" applyBorder="1"/>
    <xf numFmtId="169" fontId="11" fillId="5" borderId="6" xfId="0" applyNumberFormat="1" applyFont="1" applyFill="1" applyBorder="1"/>
    <xf numFmtId="9" fontId="11" fillId="0" borderId="6" xfId="0" applyNumberFormat="1" applyFont="1" applyBorder="1"/>
    <xf numFmtId="10" fontId="4" fillId="0" borderId="6" xfId="0" applyNumberFormat="1" applyFont="1" applyBorder="1"/>
    <xf numFmtId="0" fontId="4" fillId="0" borderId="4" xfId="0" applyFont="1" applyBorder="1" applyAlignment="1">
      <alignment wrapText="1"/>
    </xf>
    <xf numFmtId="167" fontId="11" fillId="0" borderId="6" xfId="0" applyNumberFormat="1" applyFont="1" applyBorder="1"/>
    <xf numFmtId="49" fontId="11" fillId="0" borderId="0" xfId="0" applyNumberFormat="1" applyFont="1"/>
    <xf numFmtId="169" fontId="4" fillId="0" borderId="6" xfId="1" applyNumberFormat="1" applyFont="1" applyBorder="1"/>
    <xf numFmtId="169" fontId="11" fillId="0" borderId="6" xfId="1" applyNumberFormat="1" applyFont="1" applyBorder="1"/>
    <xf numFmtId="169" fontId="11" fillId="0" borderId="0" xfId="0" applyNumberFormat="1" applyFont="1"/>
    <xf numFmtId="170" fontId="11" fillId="0" borderId="0" xfId="0" applyNumberFormat="1" applyFont="1"/>
    <xf numFmtId="9" fontId="11" fillId="0" borderId="6" xfId="2" applyFont="1" applyBorder="1"/>
    <xf numFmtId="169" fontId="11" fillId="0" borderId="6" xfId="0" applyNumberFormat="1" applyFont="1" applyBorder="1" applyAlignment="1">
      <alignment horizontal="right"/>
    </xf>
    <xf numFmtId="178" fontId="11" fillId="0" borderId="6" xfId="0" applyNumberFormat="1" applyFont="1" applyBorder="1"/>
    <xf numFmtId="171" fontId="4" fillId="0" borderId="6" xfId="1" applyNumberFormat="1" applyFont="1" applyBorder="1"/>
    <xf numFmtId="0" fontId="11" fillId="0" borderId="8" xfId="0" applyFont="1" applyBorder="1" applyAlignment="1">
      <alignment horizontal="center"/>
    </xf>
    <xf numFmtId="169" fontId="4" fillId="0" borderId="8" xfId="1" applyNumberFormat="1" applyFont="1" applyBorder="1"/>
    <xf numFmtId="0" fontId="4" fillId="0" borderId="9" xfId="0" applyFont="1" applyBorder="1" applyAlignment="1">
      <alignment horizontal="left"/>
    </xf>
    <xf numFmtId="2" fontId="4" fillId="0" borderId="0" xfId="0" applyNumberFormat="1" applyFont="1" applyAlignment="1">
      <alignment horizontal="left"/>
    </xf>
    <xf numFmtId="0" fontId="11" fillId="2" borderId="4" xfId="0" applyFont="1" applyFill="1" applyBorder="1"/>
    <xf numFmtId="165" fontId="11" fillId="2" borderId="6" xfId="0" applyNumberFormat="1" applyFont="1" applyFill="1" applyBorder="1"/>
    <xf numFmtId="0" fontId="11" fillId="0" borderId="6" xfId="0" applyFont="1" applyBorder="1" applyAlignment="1">
      <alignment horizontal="center" vertical="center" wrapText="1"/>
    </xf>
    <xf numFmtId="0" fontId="11" fillId="2" borderId="6" xfId="0" applyFont="1" applyFill="1" applyBorder="1"/>
    <xf numFmtId="179" fontId="11" fillId="0" borderId="0" xfId="0" applyNumberFormat="1" applyFont="1"/>
    <xf numFmtId="0" fontId="12" fillId="0" borderId="5" xfId="0" applyFont="1" applyBorder="1"/>
    <xf numFmtId="164" fontId="11" fillId="0" borderId="5" xfId="0" applyNumberFormat="1" applyFont="1" applyBorder="1"/>
    <xf numFmtId="164" fontId="11" fillId="0" borderId="0" xfId="0" applyNumberFormat="1" applyFont="1"/>
    <xf numFmtId="173" fontId="11" fillId="0" borderId="0" xfId="0" applyNumberFormat="1" applyFont="1"/>
    <xf numFmtId="0" fontId="13" fillId="2" borderId="0" xfId="0" applyFont="1" applyFill="1"/>
    <xf numFmtId="0" fontId="11" fillId="0" borderId="3" xfId="0" applyFont="1" applyBorder="1"/>
    <xf numFmtId="10" fontId="11" fillId="0" borderId="0" xfId="0" applyNumberFormat="1" applyFont="1"/>
    <xf numFmtId="166" fontId="11" fillId="0" borderId="0" xfId="0" applyNumberFormat="1" applyFont="1"/>
    <xf numFmtId="0" fontId="11" fillId="0" borderId="13" xfId="0" applyFont="1" applyBorder="1"/>
    <xf numFmtId="10" fontId="11" fillId="0" borderId="6" xfId="2" applyNumberFormat="1" applyFont="1" applyBorder="1"/>
    <xf numFmtId="2" fontId="11" fillId="0" borderId="11" xfId="0" applyNumberFormat="1" applyFont="1" applyBorder="1"/>
    <xf numFmtId="2" fontId="11" fillId="0" borderId="12" xfId="0" applyNumberFormat="1" applyFont="1" applyBorder="1"/>
    <xf numFmtId="1" fontId="11" fillId="2" borderId="6" xfId="0" applyNumberFormat="1" applyFont="1" applyFill="1" applyBorder="1"/>
    <xf numFmtId="0" fontId="12" fillId="0" borderId="0" xfId="0" applyFont="1"/>
    <xf numFmtId="0" fontId="11" fillId="0" borderId="6" xfId="0" applyFont="1" applyBorder="1" applyAlignment="1">
      <alignment horizontal="right" indent="1"/>
    </xf>
    <xf numFmtId="165" fontId="11" fillId="0" borderId="0" xfId="0" applyNumberFormat="1" applyFont="1" applyAlignment="1">
      <alignment horizontal="right" indent="1"/>
    </xf>
    <xf numFmtId="165" fontId="11" fillId="0" borderId="6" xfId="0" applyNumberFormat="1" applyFont="1" applyBorder="1" applyAlignment="1">
      <alignment horizontal="right" indent="1"/>
    </xf>
    <xf numFmtId="0" fontId="4" fillId="0" borderId="10" xfId="0" applyFont="1" applyBorder="1" applyAlignment="1">
      <alignment horizontal="left"/>
    </xf>
    <xf numFmtId="0" fontId="0" fillId="0" borderId="3" xfId="0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3" xfId="0" applyBorder="1" applyAlignment="1">
      <alignment vertical="center" wrapText="1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0" xfId="0" applyAlignment="1">
      <alignment horizontal="left" vertical="center" wrapText="1"/>
    </xf>
    <xf numFmtId="0" fontId="15" fillId="0" borderId="5" xfId="0" applyFont="1" applyBorder="1"/>
    <xf numFmtId="0" fontId="15" fillId="0" borderId="4" xfId="0" applyFont="1" applyBorder="1"/>
    <xf numFmtId="0" fontId="15" fillId="0" borderId="6" xfId="0" applyFont="1" applyBorder="1" applyAlignment="1">
      <alignment horizontal="center"/>
    </xf>
    <xf numFmtId="0" fontId="15" fillId="0" borderId="4" xfId="0" applyFont="1" applyBorder="1" applyAlignment="1">
      <alignment horizontal="left"/>
    </xf>
    <xf numFmtId="0" fontId="15" fillId="9" borderId="5" xfId="0" applyFont="1" applyFill="1" applyBorder="1"/>
    <xf numFmtId="0" fontId="15" fillId="9" borderId="4" xfId="0" applyFont="1" applyFill="1" applyBorder="1"/>
    <xf numFmtId="0" fontId="15" fillId="10" borderId="5" xfId="0" applyFont="1" applyFill="1" applyBorder="1"/>
    <xf numFmtId="0" fontId="15" fillId="0" borderId="0" xfId="0" applyFont="1"/>
    <xf numFmtId="0" fontId="15" fillId="0" borderId="0" xfId="0" applyFont="1" applyAlignment="1">
      <alignment horizontal="center"/>
    </xf>
    <xf numFmtId="0" fontId="15" fillId="10" borderId="4" xfId="0" applyFont="1" applyFill="1" applyBorder="1"/>
    <xf numFmtId="0" fontId="15" fillId="9" borderId="6" xfId="0" applyFont="1" applyFill="1" applyBorder="1"/>
    <xf numFmtId="0" fontId="15" fillId="7" borderId="6" xfId="0" applyFont="1" applyFill="1" applyBorder="1"/>
    <xf numFmtId="0" fontId="15" fillId="0" borderId="5" xfId="0" applyFont="1" applyBorder="1" applyAlignment="1">
      <alignment vertical="center" wrapText="1"/>
    </xf>
    <xf numFmtId="0" fontId="15" fillId="9" borderId="6" xfId="0" applyFont="1" applyFill="1" applyBorder="1" applyAlignment="1">
      <alignment horizontal="center"/>
    </xf>
    <xf numFmtId="2" fontId="15" fillId="0" borderId="0" xfId="0" applyNumberFormat="1" applyFont="1" applyAlignment="1">
      <alignment horizontal="center"/>
    </xf>
    <xf numFmtId="0" fontId="0" fillId="0" borderId="4" xfId="0" applyBorder="1" applyAlignment="1">
      <alignment horizontal="left"/>
    </xf>
    <xf numFmtId="0" fontId="0" fillId="0" borderId="4" xfId="0" applyBorder="1"/>
    <xf numFmtId="0" fontId="17" fillId="0" borderId="5" xfId="0" applyFont="1" applyBorder="1"/>
    <xf numFmtId="0" fontId="17" fillId="0" borderId="14" xfId="0" applyFont="1" applyBorder="1"/>
    <xf numFmtId="0" fontId="17" fillId="0" borderId="4" xfId="0" applyFont="1" applyBorder="1"/>
    <xf numFmtId="0" fontId="16" fillId="0" borderId="0" xfId="0" applyFont="1"/>
    <xf numFmtId="0" fontId="15" fillId="7" borderId="5" xfId="0" applyFont="1" applyFill="1" applyBorder="1"/>
    <xf numFmtId="0" fontId="15" fillId="8" borderId="5" xfId="0" applyFont="1" applyFill="1" applyBorder="1"/>
    <xf numFmtId="0" fontId="15" fillId="8" borderId="6" xfId="0" applyFont="1" applyFill="1" applyBorder="1"/>
    <xf numFmtId="0" fontId="15" fillId="8" borderId="4" xfId="0" applyFont="1" applyFill="1" applyBorder="1"/>
    <xf numFmtId="0" fontId="15" fillId="6" borderId="4" xfId="0" applyFont="1" applyFill="1" applyBorder="1"/>
    <xf numFmtId="0" fontId="0" fillId="0" borderId="9" xfId="0" applyBorder="1" applyAlignment="1">
      <alignment horizontal="left"/>
    </xf>
    <xf numFmtId="0" fontId="17" fillId="10" borderId="5" xfId="0" applyFont="1" applyFill="1" applyBorder="1"/>
    <xf numFmtId="0" fontId="15" fillId="10" borderId="4" xfId="0" applyFont="1" applyFill="1" applyBorder="1" applyAlignment="1">
      <alignment vertical="center"/>
    </xf>
    <xf numFmtId="0" fontId="17" fillId="9" borderId="5" xfId="0" applyFont="1" applyFill="1" applyBorder="1"/>
    <xf numFmtId="0" fontId="17" fillId="5" borderId="5" xfId="0" applyFont="1" applyFill="1" applyBorder="1"/>
    <xf numFmtId="2" fontId="17" fillId="0" borderId="4" xfId="0" applyNumberFormat="1" applyFont="1" applyBorder="1"/>
    <xf numFmtId="2" fontId="17" fillId="0" borderId="0" xfId="0" applyNumberFormat="1" applyFont="1"/>
    <xf numFmtId="0" fontId="17" fillId="0" borderId="0" xfId="0" applyFont="1"/>
    <xf numFmtId="0" fontId="17" fillId="0" borderId="0" xfId="0" applyFont="1" applyAlignment="1">
      <alignment horizontal="left"/>
    </xf>
    <xf numFmtId="0" fontId="17" fillId="6" borderId="5" xfId="0" applyFont="1" applyFill="1" applyBorder="1"/>
    <xf numFmtId="0" fontId="0" fillId="6" borderId="6" xfId="0" applyFill="1" applyBorder="1"/>
    <xf numFmtId="0" fontId="0" fillId="8" borderId="6" xfId="0" applyFill="1" applyBorder="1"/>
    <xf numFmtId="2" fontId="15" fillId="0" borderId="6" xfId="0" applyNumberFormat="1" applyFont="1" applyBorder="1" applyAlignment="1">
      <alignment horizontal="right" indent="1"/>
    </xf>
    <xf numFmtId="1" fontId="15" fillId="7" borderId="6" xfId="0" applyNumberFormat="1" applyFont="1" applyFill="1" applyBorder="1" applyAlignment="1">
      <alignment horizontal="right" indent="1"/>
    </xf>
    <xf numFmtId="0" fontId="15" fillId="7" borderId="4" xfId="0" applyFont="1" applyFill="1" applyBorder="1"/>
    <xf numFmtId="0" fontId="15" fillId="6" borderId="5" xfId="0" applyFont="1" applyFill="1" applyBorder="1"/>
    <xf numFmtId="2" fontId="15" fillId="6" borderId="6" xfId="0" applyNumberFormat="1" applyFont="1" applyFill="1" applyBorder="1" applyAlignment="1">
      <alignment horizontal="right" indent="1"/>
    </xf>
    <xf numFmtId="0" fontId="17" fillId="10" borderId="6" xfId="0" applyFont="1" applyFill="1" applyBorder="1"/>
    <xf numFmtId="0" fontId="17" fillId="0" borderId="10" xfId="0" applyFont="1" applyBorder="1" applyAlignment="1">
      <alignment horizontal="center"/>
    </xf>
    <xf numFmtId="0" fontId="17" fillId="0" borderId="6" xfId="0" applyFont="1" applyBorder="1" applyAlignment="1">
      <alignment horizontal="center"/>
    </xf>
    <xf numFmtId="0" fontId="17" fillId="7" borderId="5" xfId="0" applyFont="1" applyFill="1" applyBorder="1" applyAlignment="1">
      <alignment horizontal="left"/>
    </xf>
    <xf numFmtId="0" fontId="20" fillId="0" borderId="0" xfId="0" applyFont="1"/>
    <xf numFmtId="0" fontId="17" fillId="0" borderId="6" xfId="0" applyFont="1" applyBorder="1"/>
    <xf numFmtId="9" fontId="17" fillId="10" borderId="6" xfId="2" applyFont="1" applyFill="1" applyBorder="1" applyAlignment="1">
      <alignment horizontal="right" indent="1"/>
    </xf>
    <xf numFmtId="0" fontId="17" fillId="10" borderId="6" xfId="0" applyFont="1" applyFill="1" applyBorder="1" applyAlignment="1">
      <alignment horizontal="center"/>
    </xf>
    <xf numFmtId="1" fontId="17" fillId="10" borderId="6" xfId="0" applyNumberFormat="1" applyFont="1" applyFill="1" applyBorder="1" applyAlignment="1">
      <alignment horizontal="right" indent="1"/>
    </xf>
    <xf numFmtId="3" fontId="15" fillId="0" borderId="6" xfId="0" applyNumberFormat="1" applyFont="1" applyBorder="1" applyAlignment="1">
      <alignment horizontal="right" indent="1"/>
    </xf>
    <xf numFmtId="0" fontId="17" fillId="5" borderId="6" xfId="0" applyFont="1" applyFill="1" applyBorder="1"/>
    <xf numFmtId="2" fontId="17" fillId="5" borderId="6" xfId="0" applyNumberFormat="1" applyFont="1" applyFill="1" applyBorder="1" applyAlignment="1">
      <alignment horizontal="right" indent="1"/>
    </xf>
    <xf numFmtId="2" fontId="17" fillId="5" borderId="4" xfId="0" applyNumberFormat="1" applyFont="1" applyFill="1" applyBorder="1"/>
    <xf numFmtId="2" fontId="17" fillId="0" borderId="6" xfId="0" applyNumberFormat="1" applyFont="1" applyBorder="1" applyAlignment="1">
      <alignment horizontal="right" indent="1"/>
    </xf>
    <xf numFmtId="0" fontId="15" fillId="0" borderId="3" xfId="0" applyFont="1" applyBorder="1" applyAlignment="1">
      <alignment horizontal="center"/>
    </xf>
    <xf numFmtId="0" fontId="19" fillId="0" borderId="0" xfId="0" applyFont="1"/>
    <xf numFmtId="2" fontId="0" fillId="0" borderId="0" xfId="0" applyNumberFormat="1"/>
    <xf numFmtId="0" fontId="15" fillId="0" borderId="0" xfId="0" applyFont="1" applyAlignment="1">
      <alignment horizontal="right" indent="1"/>
    </xf>
    <xf numFmtId="9" fontId="17" fillId="0" borderId="0" xfId="0" applyNumberFormat="1" applyFont="1" applyAlignment="1">
      <alignment horizontal="right" indent="1"/>
    </xf>
    <xf numFmtId="2" fontId="15" fillId="7" borderId="6" xfId="0" applyNumberFormat="1" applyFont="1" applyFill="1" applyBorder="1" applyAlignment="1">
      <alignment horizontal="right" indent="1"/>
    </xf>
    <xf numFmtId="2" fontId="15" fillId="8" borderId="6" xfId="0" applyNumberFormat="1" applyFont="1" applyFill="1" applyBorder="1" applyAlignment="1">
      <alignment horizontal="right" indent="1"/>
    </xf>
    <xf numFmtId="2" fontId="15" fillId="0" borderId="0" xfId="0" applyNumberFormat="1" applyFont="1" applyAlignment="1">
      <alignment horizontal="right" indent="1"/>
    </xf>
    <xf numFmtId="4" fontId="15" fillId="0" borderId="6" xfId="0" applyNumberFormat="1" applyFont="1" applyBorder="1" applyAlignment="1">
      <alignment horizontal="right" indent="1"/>
    </xf>
    <xf numFmtId="3" fontId="17" fillId="0" borderId="6" xfId="0" applyNumberFormat="1" applyFont="1" applyBorder="1" applyAlignment="1">
      <alignment horizontal="right" indent="1"/>
    </xf>
    <xf numFmtId="167" fontId="15" fillId="0" borderId="6" xfId="0" applyNumberFormat="1" applyFont="1" applyBorder="1" applyAlignment="1">
      <alignment horizontal="right" indent="1"/>
    </xf>
    <xf numFmtId="0" fontId="17" fillId="9" borderId="6" xfId="0" applyFont="1" applyFill="1" applyBorder="1"/>
    <xf numFmtId="0" fontId="17" fillId="7" borderId="6" xfId="0" applyFont="1" applyFill="1" applyBorder="1"/>
    <xf numFmtId="0" fontId="17" fillId="0" borderId="0" xfId="0" applyFont="1" applyAlignment="1">
      <alignment horizontal="right"/>
    </xf>
    <xf numFmtId="2" fontId="17" fillId="0" borderId="0" xfId="0" applyNumberFormat="1" applyFont="1" applyAlignment="1">
      <alignment horizontal="right" indent="1"/>
    </xf>
    <xf numFmtId="0" fontId="17" fillId="0" borderId="6" xfId="0" applyFont="1" applyBorder="1" applyAlignment="1">
      <alignment horizontal="right" indent="1"/>
    </xf>
    <xf numFmtId="166" fontId="17" fillId="0" borderId="6" xfId="0" applyNumberFormat="1" applyFont="1" applyBorder="1" applyAlignment="1">
      <alignment horizontal="right" indent="1"/>
    </xf>
    <xf numFmtId="0" fontId="17" fillId="9" borderId="6" xfId="0" applyFont="1" applyFill="1" applyBorder="1" applyAlignment="1">
      <alignment horizontal="center"/>
    </xf>
    <xf numFmtId="0" fontId="17" fillId="7" borderId="6" xfId="0" applyFont="1" applyFill="1" applyBorder="1" applyAlignment="1">
      <alignment horizontal="center"/>
    </xf>
    <xf numFmtId="2" fontId="17" fillId="7" borderId="6" xfId="0" applyNumberFormat="1" applyFont="1" applyFill="1" applyBorder="1" applyAlignment="1">
      <alignment horizontal="right" indent="1"/>
    </xf>
    <xf numFmtId="0" fontId="17" fillId="0" borderId="8" xfId="0" applyFont="1" applyBorder="1" applyAlignment="1">
      <alignment horizontal="center"/>
    </xf>
    <xf numFmtId="2" fontId="17" fillId="9" borderId="6" xfId="0" applyNumberFormat="1" applyFont="1" applyFill="1" applyBorder="1" applyAlignment="1">
      <alignment horizontal="right" indent="1"/>
    </xf>
    <xf numFmtId="0" fontId="19" fillId="0" borderId="3" xfId="0" applyFont="1" applyBorder="1" applyAlignment="1">
      <alignment horizontal="center"/>
    </xf>
    <xf numFmtId="4" fontId="15" fillId="6" borderId="6" xfId="0" applyNumberFormat="1" applyFont="1" applyFill="1" applyBorder="1" applyAlignment="1">
      <alignment horizontal="right" indent="1"/>
    </xf>
    <xf numFmtId="0" fontId="15" fillId="7" borderId="7" xfId="0" applyFont="1" applyFill="1" applyBorder="1"/>
    <xf numFmtId="0" fontId="15" fillId="0" borderId="17" xfId="0" applyFont="1" applyBorder="1"/>
    <xf numFmtId="0" fontId="17" fillId="0" borderId="10" xfId="0" applyFont="1" applyBorder="1"/>
    <xf numFmtId="0" fontId="15" fillId="0" borderId="18" xfId="0" applyFont="1" applyBorder="1"/>
    <xf numFmtId="0" fontId="17" fillId="0" borderId="9" xfId="0" applyFont="1" applyBorder="1" applyAlignment="1">
      <alignment horizontal="left"/>
    </xf>
    <xf numFmtId="0" fontId="17" fillId="0" borderId="18" xfId="0" applyFont="1" applyBorder="1" applyAlignment="1">
      <alignment horizontal="left"/>
    </xf>
    <xf numFmtId="0" fontId="17" fillId="8" borderId="6" xfId="0" applyFont="1" applyFill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15" fillId="0" borderId="7" xfId="0" applyFont="1" applyBorder="1"/>
    <xf numFmtId="0" fontId="15" fillId="2" borderId="5" xfId="0" applyFont="1" applyFill="1" applyBorder="1"/>
    <xf numFmtId="0" fontId="0" fillId="2" borderId="6" xfId="0" applyFill="1" applyBorder="1"/>
    <xf numFmtId="0" fontId="15" fillId="2" borderId="6" xfId="0" applyFont="1" applyFill="1" applyBorder="1" applyAlignment="1">
      <alignment horizontal="right" indent="1"/>
    </xf>
    <xf numFmtId="0" fontId="17" fillId="10" borderId="7" xfId="0" applyFont="1" applyFill="1" applyBorder="1"/>
    <xf numFmtId="0" fontId="0" fillId="10" borderId="8" xfId="0" applyFill="1" applyBorder="1"/>
    <xf numFmtId="1" fontId="17" fillId="0" borderId="6" xfId="0" applyNumberFormat="1" applyFont="1" applyBorder="1" applyAlignment="1">
      <alignment horizontal="right" indent="1"/>
    </xf>
    <xf numFmtId="0" fontId="19" fillId="9" borderId="6" xfId="0" applyFont="1" applyFill="1" applyBorder="1" applyAlignment="1">
      <alignment horizontal="center"/>
    </xf>
    <xf numFmtId="0" fontId="18" fillId="0" borderId="0" xfId="0" applyFont="1" applyAlignment="1">
      <alignment horizontal="center"/>
    </xf>
    <xf numFmtId="0" fontId="18" fillId="0" borderId="0" xfId="0" applyFont="1"/>
    <xf numFmtId="0" fontId="20" fillId="0" borderId="3" xfId="0" applyFont="1" applyBorder="1" applyAlignment="1">
      <alignment horizontal="center"/>
    </xf>
    <xf numFmtId="0" fontId="21" fillId="0" borderId="0" xfId="0" applyFont="1"/>
    <xf numFmtId="2" fontId="21" fillId="0" borderId="0" xfId="0" applyNumberFormat="1" applyFont="1"/>
    <xf numFmtId="0" fontId="21" fillId="0" borderId="0" xfId="0" applyFont="1" applyAlignment="1">
      <alignment horizontal="left"/>
    </xf>
    <xf numFmtId="2" fontId="16" fillId="2" borderId="0" xfId="0" applyNumberFormat="1" applyFont="1" applyFill="1" applyAlignment="1">
      <alignment horizontal="left"/>
    </xf>
    <xf numFmtId="169" fontId="17" fillId="8" borderId="6" xfId="0" applyNumberFormat="1" applyFont="1" applyFill="1" applyBorder="1" applyAlignment="1">
      <alignment horizontal="right" indent="1"/>
    </xf>
    <xf numFmtId="0" fontId="15" fillId="8" borderId="4" xfId="0" applyFont="1" applyFill="1" applyBorder="1" applyAlignment="1">
      <alignment horizontal="left"/>
    </xf>
    <xf numFmtId="0" fontId="17" fillId="11" borderId="5" xfId="0" applyFont="1" applyFill="1" applyBorder="1"/>
    <xf numFmtId="0" fontId="0" fillId="11" borderId="6" xfId="0" applyFill="1" applyBorder="1"/>
    <xf numFmtId="2" fontId="15" fillId="11" borderId="6" xfId="0" applyNumberFormat="1" applyFont="1" applyFill="1" applyBorder="1" applyAlignment="1">
      <alignment horizontal="right" indent="1"/>
    </xf>
    <xf numFmtId="0" fontId="23" fillId="12" borderId="6" xfId="0" applyFont="1" applyFill="1" applyBorder="1" applyAlignment="1">
      <alignment horizontal="center"/>
    </xf>
    <xf numFmtId="3" fontId="23" fillId="12" borderId="6" xfId="0" applyNumberFormat="1" applyFont="1" applyFill="1" applyBorder="1" applyAlignment="1">
      <alignment horizontal="right" indent="1"/>
    </xf>
    <xf numFmtId="0" fontId="23" fillId="12" borderId="4" xfId="0" applyFont="1" applyFill="1" applyBorder="1"/>
    <xf numFmtId="0" fontId="23" fillId="0" borderId="5" xfId="0" applyFont="1" applyBorder="1" applyAlignment="1">
      <alignment horizontal="left"/>
    </xf>
    <xf numFmtId="0" fontId="23" fillId="0" borderId="6" xfId="0" applyFont="1" applyBorder="1" applyAlignment="1">
      <alignment horizontal="center"/>
    </xf>
    <xf numFmtId="0" fontId="23" fillId="0" borderId="4" xfId="0" applyFont="1" applyBorder="1" applyAlignment="1">
      <alignment horizontal="left"/>
    </xf>
    <xf numFmtId="0" fontId="23" fillId="0" borderId="5" xfId="0" applyFont="1" applyBorder="1" applyAlignment="1">
      <alignment vertical="center" wrapText="1"/>
    </xf>
    <xf numFmtId="2" fontId="23" fillId="0" borderId="6" xfId="0" applyNumberFormat="1" applyFont="1" applyBorder="1" applyAlignment="1">
      <alignment horizontal="right" indent="1"/>
    </xf>
    <xf numFmtId="2" fontId="23" fillId="0" borderId="8" xfId="0" applyNumberFormat="1" applyFont="1" applyBorder="1" applyAlignment="1">
      <alignment horizontal="right" indent="1"/>
    </xf>
    <xf numFmtId="2" fontId="23" fillId="0" borderId="10" xfId="0" applyNumberFormat="1" applyFont="1" applyBorder="1" applyAlignment="1">
      <alignment horizontal="right" vertical="center" indent="1"/>
    </xf>
    <xf numFmtId="4" fontId="23" fillId="12" borderId="6" xfId="0" applyNumberFormat="1" applyFont="1" applyFill="1" applyBorder="1" applyAlignment="1">
      <alignment horizontal="right" indent="1"/>
    </xf>
    <xf numFmtId="167" fontId="17" fillId="0" borderId="6" xfId="0" applyNumberFormat="1" applyFont="1" applyBorder="1" applyAlignment="1">
      <alignment horizontal="right" indent="1"/>
    </xf>
    <xf numFmtId="0" fontId="23" fillId="12" borderId="5" xfId="0" applyFont="1" applyFill="1" applyBorder="1" applyAlignment="1">
      <alignment vertical="center" wrapText="1"/>
    </xf>
    <xf numFmtId="182" fontId="23" fillId="0" borderId="0" xfId="0" applyNumberFormat="1" applyFont="1" applyAlignment="1">
      <alignment horizontal="right" indent="1"/>
    </xf>
    <xf numFmtId="0" fontId="23" fillId="0" borderId="0" xfId="0" applyFont="1" applyAlignment="1">
      <alignment horizontal="left"/>
    </xf>
    <xf numFmtId="0" fontId="17" fillId="7" borderId="8" xfId="0" applyFont="1" applyFill="1" applyBorder="1" applyAlignment="1">
      <alignment horizontal="center"/>
    </xf>
    <xf numFmtId="2" fontId="17" fillId="7" borderId="8" xfId="0" applyNumberFormat="1" applyFont="1" applyFill="1" applyBorder="1" applyAlignment="1">
      <alignment horizontal="right" indent="1"/>
    </xf>
    <xf numFmtId="0" fontId="17" fillId="11" borderId="6" xfId="0" applyFont="1" applyFill="1" applyBorder="1"/>
    <xf numFmtId="2" fontId="17" fillId="11" borderId="6" xfId="0" applyNumberFormat="1" applyFont="1" applyFill="1" applyBorder="1" applyAlignment="1">
      <alignment horizontal="right" indent="1"/>
    </xf>
    <xf numFmtId="10" fontId="19" fillId="9" borderId="6" xfId="2" applyNumberFormat="1" applyFont="1" applyFill="1" applyBorder="1" applyAlignment="1">
      <alignment horizontal="center"/>
    </xf>
    <xf numFmtId="0" fontId="0" fillId="0" borderId="10" xfId="0" applyBorder="1" applyAlignment="1">
      <alignment horizontal="center"/>
    </xf>
    <xf numFmtId="0" fontId="19" fillId="0" borderId="3" xfId="0" applyFont="1" applyBorder="1" applyAlignment="1">
      <alignment horizontal="right"/>
    </xf>
    <xf numFmtId="0" fontId="17" fillId="6" borderId="4" xfId="0" applyFont="1" applyFill="1" applyBorder="1"/>
    <xf numFmtId="10" fontId="15" fillId="0" borderId="6" xfId="2" applyNumberFormat="1" applyFont="1" applyFill="1" applyBorder="1" applyAlignment="1">
      <alignment horizontal="center"/>
    </xf>
    <xf numFmtId="0" fontId="27" fillId="0" borderId="0" xfId="0" applyFont="1"/>
    <xf numFmtId="0" fontId="28" fillId="0" borderId="0" xfId="0" applyFont="1" applyAlignment="1">
      <alignment horizontal="center"/>
    </xf>
    <xf numFmtId="0" fontId="24" fillId="0" borderId="0" xfId="0" applyFont="1" applyAlignment="1">
      <alignment horizontal="right" indent="1"/>
    </xf>
    <xf numFmtId="0" fontId="24" fillId="0" borderId="0" xfId="0" applyFont="1"/>
    <xf numFmtId="0" fontId="29" fillId="0" borderId="0" xfId="0" applyFont="1"/>
    <xf numFmtId="0" fontId="23" fillId="12" borderId="5" xfId="0" applyFont="1" applyFill="1" applyBorder="1"/>
    <xf numFmtId="0" fontId="23" fillId="0" borderId="14" xfId="0" applyFont="1" applyBorder="1"/>
    <xf numFmtId="0" fontId="23" fillId="14" borderId="5" xfId="0" applyFont="1" applyFill="1" applyBorder="1"/>
    <xf numFmtId="0" fontId="24" fillId="16" borderId="5" xfId="0" applyFont="1" applyFill="1" applyBorder="1"/>
    <xf numFmtId="0" fontId="24" fillId="0" borderId="14" xfId="0" applyFont="1" applyBorder="1"/>
    <xf numFmtId="0" fontId="23" fillId="17" borderId="5" xfId="0" applyFont="1" applyFill="1" applyBorder="1"/>
    <xf numFmtId="0" fontId="23" fillId="18" borderId="5" xfId="0" applyFont="1" applyFill="1" applyBorder="1"/>
    <xf numFmtId="0" fontId="23" fillId="0" borderId="0" xfId="0" applyFont="1"/>
    <xf numFmtId="0" fontId="24" fillId="0" borderId="5" xfId="0" applyFont="1" applyBorder="1"/>
    <xf numFmtId="0" fontId="30" fillId="0" borderId="0" xfId="0" applyFont="1" applyAlignment="1">
      <alignment horizontal="center" vertical="center" wrapText="1"/>
    </xf>
    <xf numFmtId="0" fontId="30" fillId="0" borderId="0" xfId="0" applyFont="1" applyAlignment="1">
      <alignment vertical="center" wrapText="1"/>
    </xf>
    <xf numFmtId="166" fontId="30" fillId="0" borderId="0" xfId="0" applyNumberFormat="1" applyFont="1" applyAlignment="1">
      <alignment horizontal="center" vertical="center" wrapText="1"/>
    </xf>
    <xf numFmtId="4" fontId="23" fillId="0" borderId="6" xfId="0" applyNumberFormat="1" applyFont="1" applyBorder="1" applyAlignment="1">
      <alignment horizontal="right" indent="1"/>
    </xf>
    <xf numFmtId="2" fontId="23" fillId="0" borderId="3" xfId="0" applyNumberFormat="1" applyFont="1" applyBorder="1" applyAlignment="1">
      <alignment horizontal="right" indent="1"/>
    </xf>
    <xf numFmtId="2" fontId="24" fillId="0" borderId="6" xfId="0" applyNumberFormat="1" applyFont="1" applyBorder="1" applyAlignment="1">
      <alignment horizontal="right" indent="1"/>
    </xf>
    <xf numFmtId="0" fontId="24" fillId="0" borderId="4" xfId="0" applyFont="1" applyBorder="1"/>
    <xf numFmtId="0" fontId="24" fillId="0" borderId="5" xfId="0" applyFont="1" applyBorder="1" applyAlignment="1">
      <alignment vertical="center"/>
    </xf>
    <xf numFmtId="0" fontId="24" fillId="0" borderId="6" xfId="0" applyFont="1" applyBorder="1" applyAlignment="1">
      <alignment horizontal="center" vertical="center"/>
    </xf>
    <xf numFmtId="1" fontId="23" fillId="0" borderId="10" xfId="0" applyNumberFormat="1" applyFont="1" applyBorder="1" applyAlignment="1">
      <alignment horizontal="right" vertical="center" indent="1"/>
    </xf>
    <xf numFmtId="0" fontId="24" fillId="19" borderId="5" xfId="0" applyFont="1" applyFill="1" applyBorder="1" applyAlignment="1">
      <alignment vertical="center"/>
    </xf>
    <xf numFmtId="0" fontId="24" fillId="19" borderId="6" xfId="0" applyFont="1" applyFill="1" applyBorder="1" applyAlignment="1">
      <alignment horizontal="center" vertical="center"/>
    </xf>
    <xf numFmtId="2" fontId="23" fillId="19" borderId="10" xfId="0" applyNumberFormat="1" applyFont="1" applyFill="1" applyBorder="1" applyAlignment="1">
      <alignment horizontal="right" vertical="center" indent="1"/>
    </xf>
    <xf numFmtId="0" fontId="24" fillId="19" borderId="4" xfId="0" applyFont="1" applyFill="1" applyBorder="1"/>
    <xf numFmtId="0" fontId="23" fillId="0" borderId="0" xfId="0" applyFont="1" applyAlignment="1">
      <alignment horizontal="right"/>
    </xf>
    <xf numFmtId="3" fontId="23" fillId="0" borderId="6" xfId="0" applyNumberFormat="1" applyFont="1" applyBorder="1" applyAlignment="1">
      <alignment horizontal="right" indent="1"/>
    </xf>
    <xf numFmtId="0" fontId="23" fillId="20" borderId="5" xfId="0" applyFont="1" applyFill="1" applyBorder="1" applyAlignment="1">
      <alignment vertical="center" wrapText="1"/>
    </xf>
    <xf numFmtId="0" fontId="23" fillId="20" borderId="6" xfId="0" applyFont="1" applyFill="1" applyBorder="1" applyAlignment="1">
      <alignment horizontal="center"/>
    </xf>
    <xf numFmtId="2" fontId="23" fillId="20" borderId="6" xfId="0" applyNumberFormat="1" applyFont="1" applyFill="1" applyBorder="1" applyAlignment="1">
      <alignment horizontal="right" indent="1"/>
    </xf>
    <xf numFmtId="0" fontId="23" fillId="20" borderId="4" xfId="0" applyFont="1" applyFill="1" applyBorder="1"/>
    <xf numFmtId="0" fontId="17" fillId="20" borderId="5" xfId="0" applyFont="1" applyFill="1" applyBorder="1" applyAlignment="1">
      <alignment vertical="center" wrapText="1"/>
    </xf>
    <xf numFmtId="0" fontId="17" fillId="20" borderId="6" xfId="0" applyFont="1" applyFill="1" applyBorder="1" applyAlignment="1">
      <alignment horizontal="center"/>
    </xf>
    <xf numFmtId="2" fontId="17" fillId="20" borderId="6" xfId="0" applyNumberFormat="1" applyFont="1" applyFill="1" applyBorder="1" applyAlignment="1">
      <alignment horizontal="right" indent="1"/>
    </xf>
    <xf numFmtId="0" fontId="17" fillId="20" borderId="4" xfId="0" applyFont="1" applyFill="1" applyBorder="1"/>
    <xf numFmtId="0" fontId="17" fillId="21" borderId="6" xfId="0" applyFont="1" applyFill="1" applyBorder="1" applyAlignment="1">
      <alignment vertical="center"/>
    </xf>
    <xf numFmtId="0" fontId="17" fillId="22" borderId="6" xfId="0" applyFont="1" applyFill="1" applyBorder="1" applyAlignment="1">
      <alignment horizontal="center"/>
    </xf>
    <xf numFmtId="2" fontId="17" fillId="21" borderId="6" xfId="0" applyNumberFormat="1" applyFont="1" applyFill="1" applyBorder="1" applyAlignment="1">
      <alignment horizontal="right" indent="1"/>
    </xf>
    <xf numFmtId="0" fontId="17" fillId="21" borderId="4" xfId="0" applyFont="1" applyFill="1" applyBorder="1"/>
    <xf numFmtId="0" fontId="23" fillId="0" borderId="3" xfId="0" applyFont="1" applyBorder="1" applyAlignment="1">
      <alignment horizontal="right" vertical="center"/>
    </xf>
    <xf numFmtId="0" fontId="17" fillId="23" borderId="5" xfId="0" applyFont="1" applyFill="1" applyBorder="1" applyAlignment="1">
      <alignment vertical="center"/>
    </xf>
    <xf numFmtId="0" fontId="17" fillId="23" borderId="6" xfId="0" applyFont="1" applyFill="1" applyBorder="1" applyAlignment="1">
      <alignment horizontal="center" vertical="center"/>
    </xf>
    <xf numFmtId="2" fontId="17" fillId="24" borderId="10" xfId="0" applyNumberFormat="1" applyFont="1" applyFill="1" applyBorder="1" applyAlignment="1">
      <alignment horizontal="right" vertical="center" indent="1"/>
    </xf>
    <xf numFmtId="0" fontId="17" fillId="23" borderId="4" xfId="0" applyFont="1" applyFill="1" applyBorder="1" applyAlignment="1">
      <alignment vertical="center"/>
    </xf>
    <xf numFmtId="2" fontId="17" fillId="0" borderId="10" xfId="0" applyNumberFormat="1" applyFont="1" applyBorder="1" applyAlignment="1">
      <alignment horizontal="right" vertical="center" indent="1"/>
    </xf>
    <xf numFmtId="0" fontId="15" fillId="0" borderId="3" xfId="0" applyFont="1" applyBorder="1" applyAlignment="1">
      <alignment horizontal="right"/>
    </xf>
    <xf numFmtId="0" fontId="17" fillId="0" borderId="7" xfId="0" applyFont="1" applyBorder="1" applyAlignment="1">
      <alignment vertical="center" wrapText="1"/>
    </xf>
    <xf numFmtId="2" fontId="17" fillId="21" borderId="8" xfId="0" applyNumberFormat="1" applyFont="1" applyFill="1" applyBorder="1" applyAlignment="1">
      <alignment horizontal="right" indent="1"/>
    </xf>
    <xf numFmtId="0" fontId="17" fillId="0" borderId="10" xfId="0" applyFont="1" applyBorder="1" applyAlignment="1">
      <alignment vertical="center" wrapText="1"/>
    </xf>
    <xf numFmtId="2" fontId="17" fillId="21" borderId="10" xfId="0" applyNumberFormat="1" applyFont="1" applyFill="1" applyBorder="1" applyAlignment="1">
      <alignment horizontal="right" indent="1"/>
    </xf>
    <xf numFmtId="0" fontId="17" fillId="0" borderId="5" xfId="0" applyFont="1" applyBorder="1" applyAlignment="1">
      <alignment vertical="center"/>
    </xf>
    <xf numFmtId="0" fontId="17" fillId="0" borderId="6" xfId="0" applyFont="1" applyBorder="1" applyAlignment="1">
      <alignment horizontal="center" vertical="center"/>
    </xf>
    <xf numFmtId="0" fontId="17" fillId="6" borderId="5" xfId="0" applyFont="1" applyFill="1" applyBorder="1" applyAlignment="1">
      <alignment vertical="center" wrapText="1"/>
    </xf>
    <xf numFmtId="0" fontId="17" fillId="6" borderId="6" xfId="0" applyFont="1" applyFill="1" applyBorder="1" applyAlignment="1">
      <alignment horizontal="center" vertical="center"/>
    </xf>
    <xf numFmtId="2" fontId="17" fillId="6" borderId="6" xfId="0" applyNumberFormat="1" applyFont="1" applyFill="1" applyBorder="1" applyAlignment="1">
      <alignment horizontal="right" vertical="center" indent="1"/>
    </xf>
    <xf numFmtId="0" fontId="17" fillId="6" borderId="4" xfId="0" applyFont="1" applyFill="1" applyBorder="1" applyAlignment="1">
      <alignment vertical="center"/>
    </xf>
    <xf numFmtId="0" fontId="17" fillId="13" borderId="5" xfId="0" applyFont="1" applyFill="1" applyBorder="1"/>
    <xf numFmtId="0" fontId="17" fillId="13" borderId="6" xfId="0" applyFont="1" applyFill="1" applyBorder="1" applyAlignment="1">
      <alignment horizontal="center"/>
    </xf>
    <xf numFmtId="172" fontId="17" fillId="13" borderId="10" xfId="0" applyNumberFormat="1" applyFont="1" applyFill="1" applyBorder="1" applyAlignment="1">
      <alignment horizontal="right" vertical="center" indent="1"/>
    </xf>
    <xf numFmtId="0" fontId="17" fillId="13" borderId="4" xfId="0" applyFont="1" applyFill="1" applyBorder="1"/>
    <xf numFmtId="0" fontId="17" fillId="14" borderId="5" xfId="0" applyFont="1" applyFill="1" applyBorder="1"/>
    <xf numFmtId="1" fontId="17" fillId="15" borderId="6" xfId="0" applyNumberFormat="1" applyFont="1" applyFill="1" applyBorder="1" applyAlignment="1">
      <alignment horizontal="center"/>
    </xf>
    <xf numFmtId="2" fontId="17" fillId="15" borderId="6" xfId="0" applyNumberFormat="1" applyFont="1" applyFill="1" applyBorder="1" applyAlignment="1">
      <alignment horizontal="right" indent="1"/>
    </xf>
    <xf numFmtId="0" fontId="17" fillId="15" borderId="4" xfId="0" applyFont="1" applyFill="1" applyBorder="1"/>
    <xf numFmtId="164" fontId="17" fillId="5" borderId="6" xfId="0" applyNumberFormat="1" applyFont="1" applyFill="1" applyBorder="1" applyAlignment="1">
      <alignment horizontal="center" vertical="center"/>
    </xf>
    <xf numFmtId="0" fontId="17" fillId="5" borderId="5" xfId="0" applyFont="1" applyFill="1" applyBorder="1" applyAlignment="1">
      <alignment vertical="center" wrapText="1"/>
    </xf>
    <xf numFmtId="2" fontId="17" fillId="5" borderId="6" xfId="0" applyNumberFormat="1" applyFont="1" applyFill="1" applyBorder="1" applyAlignment="1">
      <alignment horizontal="right" vertical="center" indent="1"/>
    </xf>
    <xf numFmtId="2" fontId="17" fillId="5" borderId="4" xfId="0" applyNumberFormat="1" applyFont="1" applyFill="1" applyBorder="1" applyAlignment="1">
      <alignment vertical="center"/>
    </xf>
    <xf numFmtId="172" fontId="17" fillId="5" borderId="6" xfId="0" applyNumberFormat="1" applyFont="1" applyFill="1" applyBorder="1" applyAlignment="1">
      <alignment horizontal="right" vertical="center" indent="1"/>
    </xf>
    <xf numFmtId="0" fontId="23" fillId="20" borderId="6" xfId="0" applyFont="1" applyFill="1" applyBorder="1" applyAlignment="1">
      <alignment horizontal="center" vertical="center"/>
    </xf>
    <xf numFmtId="2" fontId="23" fillId="20" borderId="6" xfId="0" applyNumberFormat="1" applyFont="1" applyFill="1" applyBorder="1" applyAlignment="1">
      <alignment horizontal="right" vertical="center" indent="1"/>
    </xf>
    <xf numFmtId="0" fontId="23" fillId="20" borderId="4" xfId="0" applyFont="1" applyFill="1" applyBorder="1" applyAlignment="1">
      <alignment vertical="center"/>
    </xf>
    <xf numFmtId="0" fontId="23" fillId="0" borderId="5" xfId="0" applyFont="1" applyBorder="1"/>
    <xf numFmtId="0" fontId="23" fillId="0" borderId="4" xfId="0" applyFont="1" applyBorder="1"/>
    <xf numFmtId="164" fontId="17" fillId="5" borderId="6" xfId="0" applyNumberFormat="1" applyFont="1" applyFill="1" applyBorder="1" applyAlignment="1">
      <alignment horizontal="center"/>
    </xf>
    <xf numFmtId="0" fontId="23" fillId="0" borderId="0" xfId="0" applyFont="1" applyAlignment="1">
      <alignment vertical="center" wrapText="1"/>
    </xf>
    <xf numFmtId="2" fontId="23" fillId="0" borderId="0" xfId="0" applyNumberFormat="1" applyFont="1" applyAlignment="1">
      <alignment horizontal="right" indent="1"/>
    </xf>
    <xf numFmtId="2" fontId="15" fillId="0" borderId="8" xfId="0" applyNumberFormat="1" applyFont="1" applyBorder="1" applyAlignment="1">
      <alignment horizontal="right" indent="1"/>
    </xf>
    <xf numFmtId="2" fontId="23" fillId="0" borderId="10" xfId="0" applyNumberFormat="1" applyFont="1" applyBorder="1" applyAlignment="1">
      <alignment horizontal="right" indent="1"/>
    </xf>
    <xf numFmtId="0" fontId="23" fillId="0" borderId="18" xfId="0" applyFont="1" applyBorder="1"/>
    <xf numFmtId="0" fontId="29" fillId="5" borderId="3" xfId="0" applyFont="1" applyFill="1" applyBorder="1" applyAlignment="1">
      <alignment horizontal="center" vertical="center" wrapText="1"/>
    </xf>
    <xf numFmtId="0" fontId="38" fillId="4" borderId="3" xfId="0" applyFont="1" applyFill="1" applyBorder="1" applyAlignment="1">
      <alignment horizontal="center" vertical="center" wrapText="1"/>
    </xf>
    <xf numFmtId="2" fontId="38" fillId="4" borderId="3" xfId="0" applyNumberFormat="1" applyFont="1" applyFill="1" applyBorder="1" applyAlignment="1">
      <alignment horizontal="center" vertical="center" wrapText="1"/>
    </xf>
    <xf numFmtId="181" fontId="38" fillId="4" borderId="3" xfId="0" applyNumberFormat="1" applyFont="1" applyFill="1" applyBorder="1" applyAlignment="1">
      <alignment horizontal="center" vertical="center" wrapText="1"/>
    </xf>
    <xf numFmtId="11" fontId="0" fillId="0" borderId="3" xfId="0" applyNumberFormat="1" applyBorder="1" applyAlignment="1">
      <alignment horizontal="center"/>
    </xf>
    <xf numFmtId="0" fontId="34" fillId="0" borderId="17" xfId="5" applyBorder="1"/>
    <xf numFmtId="0" fontId="0" fillId="0" borderId="18" xfId="0" applyBorder="1"/>
    <xf numFmtId="0" fontId="15" fillId="0" borderId="0" xfId="0" applyFont="1" applyAlignment="1">
      <alignment horizontal="right"/>
    </xf>
    <xf numFmtId="164" fontId="17" fillId="0" borderId="0" xfId="0" applyNumberFormat="1" applyFont="1" applyAlignment="1">
      <alignment horizontal="center"/>
    </xf>
    <xf numFmtId="10" fontId="15" fillId="0" borderId="8" xfId="2" applyNumberFormat="1" applyFont="1" applyFill="1" applyBorder="1" applyAlignment="1">
      <alignment horizontal="center"/>
    </xf>
    <xf numFmtId="0" fontId="23" fillId="18" borderId="6" xfId="0" applyFont="1" applyFill="1" applyBorder="1"/>
    <xf numFmtId="2" fontId="23" fillId="18" borderId="6" xfId="0" applyNumberFormat="1" applyFont="1" applyFill="1" applyBorder="1" applyAlignment="1">
      <alignment horizontal="right" indent="1"/>
    </xf>
    <xf numFmtId="0" fontId="23" fillId="18" borderId="4" xfId="0" applyFont="1" applyFill="1" applyBorder="1"/>
    <xf numFmtId="0" fontId="0" fillId="0" borderId="14" xfId="0" applyBorder="1" applyAlignment="1">
      <alignment horizontal="center" wrapText="1"/>
    </xf>
    <xf numFmtId="164" fontId="0" fillId="0" borderId="3" xfId="0" applyNumberFormat="1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14" xfId="0" applyBorder="1" applyAlignment="1">
      <alignment horizontal="center"/>
    </xf>
    <xf numFmtId="0" fontId="0" fillId="0" borderId="3" xfId="0" applyBorder="1" applyAlignment="1">
      <alignment horizontal="center"/>
    </xf>
    <xf numFmtId="167" fontId="0" fillId="0" borderId="3" xfId="0" applyNumberFormat="1" applyBorder="1" applyAlignment="1">
      <alignment horizontal="center"/>
    </xf>
    <xf numFmtId="0" fontId="11" fillId="0" borderId="0" xfId="0" applyFont="1" applyAlignment="1">
      <alignment horizontal="center" vertical="center"/>
    </xf>
    <xf numFmtId="2" fontId="11" fillId="0" borderId="0" xfId="0" applyNumberFormat="1" applyFont="1" applyAlignment="1">
      <alignment horizontal="center"/>
    </xf>
    <xf numFmtId="0" fontId="0" fillId="0" borderId="7" xfId="0" applyBorder="1" applyAlignment="1">
      <alignment horizontal="left"/>
    </xf>
    <xf numFmtId="0" fontId="0" fillId="0" borderId="7" xfId="0" applyBorder="1" applyAlignment="1">
      <alignment horizontal="right"/>
    </xf>
    <xf numFmtId="0" fontId="0" fillId="0" borderId="9" xfId="0" applyBorder="1" applyAlignment="1">
      <alignment horizontal="center"/>
    </xf>
    <xf numFmtId="0" fontId="0" fillId="0" borderId="8" xfId="0" applyBorder="1" applyAlignment="1">
      <alignment horizontal="right"/>
    </xf>
    <xf numFmtId="0" fontId="0" fillId="0" borderId="8" xfId="0" applyBorder="1" applyAlignment="1">
      <alignment horizontal="center"/>
    </xf>
    <xf numFmtId="0" fontId="0" fillId="0" borderId="17" xfId="0" applyBorder="1" applyAlignment="1">
      <alignment horizontal="left"/>
    </xf>
    <xf numFmtId="0" fontId="0" fillId="0" borderId="17" xfId="0" applyBorder="1"/>
    <xf numFmtId="0" fontId="0" fillId="0" borderId="14" xfId="0" applyBorder="1" applyAlignment="1">
      <alignment horizontal="left"/>
    </xf>
    <xf numFmtId="0" fontId="0" fillId="0" borderId="14" xfId="0" applyBorder="1" applyAlignment="1">
      <alignment horizontal="right"/>
    </xf>
    <xf numFmtId="0" fontId="0" fillId="0" borderId="13" xfId="0" applyBorder="1" applyAlignment="1">
      <alignment horizontal="center"/>
    </xf>
    <xf numFmtId="2" fontId="0" fillId="0" borderId="14" xfId="0" applyNumberFormat="1" applyBorder="1"/>
    <xf numFmtId="0" fontId="0" fillId="0" borderId="13" xfId="0" applyBorder="1" applyAlignment="1">
      <alignment horizontal="left"/>
    </xf>
    <xf numFmtId="0" fontId="0" fillId="0" borderId="13" xfId="0" applyBorder="1"/>
    <xf numFmtId="1" fontId="0" fillId="0" borderId="7" xfId="0" applyNumberFormat="1" applyBorder="1"/>
    <xf numFmtId="167" fontId="0" fillId="0" borderId="8" xfId="0" applyNumberFormat="1" applyBorder="1"/>
    <xf numFmtId="0" fontId="0" fillId="0" borderId="8" xfId="0" applyBorder="1" applyAlignment="1">
      <alignment horizontal="left"/>
    </xf>
    <xf numFmtId="166" fontId="0" fillId="0" borderId="17" xfId="0" applyNumberFormat="1" applyBorder="1"/>
    <xf numFmtId="0" fontId="0" fillId="0" borderId="18" xfId="0" applyBorder="1" applyAlignment="1">
      <alignment horizontal="left"/>
    </xf>
    <xf numFmtId="166" fontId="0" fillId="0" borderId="10" xfId="0" applyNumberFormat="1" applyBorder="1"/>
    <xf numFmtId="0" fontId="0" fillId="0" borderId="10" xfId="0" applyBorder="1" applyAlignment="1">
      <alignment horizontal="left"/>
    </xf>
    <xf numFmtId="0" fontId="0" fillId="0" borderId="5" xfId="0" applyBorder="1" applyAlignment="1">
      <alignment horizontal="left"/>
    </xf>
    <xf numFmtId="11" fontId="0" fillId="0" borderId="5" xfId="0" applyNumberFormat="1" applyBorder="1"/>
    <xf numFmtId="11" fontId="0" fillId="0" borderId="6" xfId="0" applyNumberFormat="1" applyBorder="1"/>
    <xf numFmtId="0" fontId="0" fillId="0" borderId="6" xfId="0" applyBorder="1" applyAlignment="1">
      <alignment horizontal="left"/>
    </xf>
    <xf numFmtId="2" fontId="0" fillId="0" borderId="5" xfId="0" applyNumberFormat="1" applyBorder="1"/>
    <xf numFmtId="2" fontId="0" fillId="0" borderId="6" xfId="0" applyNumberFormat="1" applyBorder="1"/>
    <xf numFmtId="2" fontId="0" fillId="0" borderId="4" xfId="0" applyNumberFormat="1" applyBorder="1" applyAlignment="1">
      <alignment horizontal="center"/>
    </xf>
    <xf numFmtId="0" fontId="34" fillId="0" borderId="0" xfId="5" applyAlignment="1">
      <alignment vertical="center"/>
    </xf>
    <xf numFmtId="0" fontId="15" fillId="9" borderId="4" xfId="0" applyFont="1" applyFill="1" applyBorder="1" applyAlignment="1">
      <alignment horizontal="left"/>
    </xf>
    <xf numFmtId="0" fontId="23" fillId="26" borderId="1" xfId="0" applyFont="1" applyFill="1" applyBorder="1" applyAlignment="1">
      <alignment horizontal="center"/>
    </xf>
    <xf numFmtId="0" fontId="23" fillId="26" borderId="9" xfId="0" applyFont="1" applyFill="1" applyBorder="1" applyAlignment="1">
      <alignment horizontal="center"/>
    </xf>
    <xf numFmtId="2" fontId="23" fillId="26" borderId="3" xfId="0" applyNumberFormat="1" applyFont="1" applyFill="1" applyBorder="1" applyAlignment="1">
      <alignment horizontal="center"/>
    </xf>
    <xf numFmtId="2" fontId="23" fillId="26" borderId="4" xfId="0" applyNumberFormat="1" applyFont="1" applyFill="1" applyBorder="1" applyAlignment="1">
      <alignment horizontal="center"/>
    </xf>
    <xf numFmtId="0" fontId="15" fillId="25" borderId="5" xfId="0" applyFont="1" applyFill="1" applyBorder="1"/>
    <xf numFmtId="0" fontId="17" fillId="25" borderId="6" xfId="0" applyFont="1" applyFill="1" applyBorder="1" applyAlignment="1">
      <alignment horizontal="center"/>
    </xf>
    <xf numFmtId="3" fontId="17" fillId="25" borderId="6" xfId="0" applyNumberFormat="1" applyFont="1" applyFill="1" applyBorder="1" applyAlignment="1">
      <alignment horizontal="right" indent="1"/>
    </xf>
    <xf numFmtId="0" fontId="15" fillId="25" borderId="4" xfId="0" applyFont="1" applyFill="1" applyBorder="1"/>
    <xf numFmtId="0" fontId="17" fillId="8" borderId="17" xfId="0" applyFont="1" applyFill="1" applyBorder="1"/>
    <xf numFmtId="9" fontId="17" fillId="7" borderId="6" xfId="0" applyNumberFormat="1" applyFont="1" applyFill="1" applyBorder="1" applyAlignment="1">
      <alignment horizontal="right" indent="1"/>
    </xf>
    <xf numFmtId="0" fontId="17" fillId="11" borderId="6" xfId="0" applyFont="1" applyFill="1" applyBorder="1" applyAlignment="1">
      <alignment horizontal="center"/>
    </xf>
    <xf numFmtId="2" fontId="15" fillId="11" borderId="6" xfId="2" applyNumberFormat="1" applyFont="1" applyFill="1" applyBorder="1" applyAlignment="1">
      <alignment horizontal="right" indent="1"/>
    </xf>
    <xf numFmtId="0" fontId="15" fillId="25" borderId="6" xfId="0" applyFont="1" applyFill="1" applyBorder="1" applyAlignment="1">
      <alignment horizontal="center"/>
    </xf>
    <xf numFmtId="2" fontId="15" fillId="25" borderId="6" xfId="0" applyNumberFormat="1" applyFont="1" applyFill="1" applyBorder="1" applyAlignment="1">
      <alignment horizontal="right" indent="1"/>
    </xf>
    <xf numFmtId="2" fontId="15" fillId="0" borderId="6" xfId="0" applyNumberFormat="1" applyFont="1" applyBorder="1"/>
    <xf numFmtId="10" fontId="17" fillId="25" borderId="6" xfId="2" applyNumberFormat="1" applyFont="1" applyFill="1" applyBorder="1" applyAlignment="1">
      <alignment horizontal="center"/>
    </xf>
    <xf numFmtId="2" fontId="17" fillId="25" borderId="6" xfId="0" applyNumberFormat="1" applyFont="1" applyFill="1" applyBorder="1" applyAlignment="1">
      <alignment horizontal="right" indent="1"/>
    </xf>
    <xf numFmtId="0" fontId="17" fillId="25" borderId="4" xfId="0" applyFont="1" applyFill="1" applyBorder="1"/>
    <xf numFmtId="10" fontId="15" fillId="25" borderId="6" xfId="2" applyNumberFormat="1" applyFont="1" applyFill="1" applyBorder="1" applyAlignment="1">
      <alignment horizontal="center"/>
    </xf>
    <xf numFmtId="0" fontId="17" fillId="25" borderId="5" xfId="0" applyFont="1" applyFill="1" applyBorder="1"/>
    <xf numFmtId="10" fontId="19" fillId="25" borderId="6" xfId="2" applyNumberFormat="1" applyFont="1" applyFill="1" applyBorder="1" applyAlignment="1">
      <alignment horizontal="center"/>
    </xf>
    <xf numFmtId="0" fontId="20" fillId="0" borderId="6" xfId="0" applyFont="1" applyBorder="1" applyAlignment="1">
      <alignment horizontal="right" indent="1"/>
    </xf>
    <xf numFmtId="0" fontId="17" fillId="8" borderId="5" xfId="0" applyFont="1" applyFill="1" applyBorder="1"/>
    <xf numFmtId="0" fontId="17" fillId="0" borderId="6" xfId="0" applyFont="1" applyBorder="1" applyAlignment="1">
      <alignment horizontal="right"/>
    </xf>
    <xf numFmtId="0" fontId="19" fillId="25" borderId="6" xfId="0" applyFont="1" applyFill="1" applyBorder="1" applyAlignment="1">
      <alignment horizontal="center"/>
    </xf>
    <xf numFmtId="0" fontId="15" fillId="11" borderId="5" xfId="0" applyFont="1" applyFill="1" applyBorder="1"/>
    <xf numFmtId="0" fontId="15" fillId="11" borderId="4" xfId="0" applyFont="1" applyFill="1" applyBorder="1"/>
    <xf numFmtId="4" fontId="15" fillId="25" borderId="6" xfId="0" applyNumberFormat="1" applyFont="1" applyFill="1" applyBorder="1" applyAlignment="1">
      <alignment horizontal="right" indent="1"/>
    </xf>
    <xf numFmtId="0" fontId="17" fillId="11" borderId="10" xfId="0" applyFont="1" applyFill="1" applyBorder="1" applyAlignment="1">
      <alignment horizontal="center"/>
    </xf>
    <xf numFmtId="9" fontId="17" fillId="11" borderId="10" xfId="2" applyFont="1" applyFill="1" applyBorder="1" applyAlignment="1">
      <alignment horizontal="right" indent="1"/>
    </xf>
    <xf numFmtId="167" fontId="23" fillId="11" borderId="6" xfId="0" applyNumberFormat="1" applyFont="1" applyFill="1" applyBorder="1" applyAlignment="1">
      <alignment horizontal="right" vertical="center" indent="1"/>
    </xf>
    <xf numFmtId="0" fontId="15" fillId="11" borderId="6" xfId="0" applyFont="1" applyFill="1" applyBorder="1" applyAlignment="1">
      <alignment horizontal="center"/>
    </xf>
    <xf numFmtId="2" fontId="17" fillId="11" borderId="6" xfId="2" applyNumberFormat="1" applyFont="1" applyFill="1" applyBorder="1" applyAlignment="1">
      <alignment horizontal="right" indent="1"/>
    </xf>
    <xf numFmtId="166" fontId="15" fillId="11" borderId="6" xfId="0" applyNumberFormat="1" applyFont="1" applyFill="1" applyBorder="1" applyAlignment="1">
      <alignment horizontal="right" indent="1"/>
    </xf>
    <xf numFmtId="2" fontId="29" fillId="0" borderId="6" xfId="0" applyNumberFormat="1" applyFont="1" applyBorder="1" applyAlignment="1">
      <alignment horizontal="center"/>
    </xf>
    <xf numFmtId="0" fontId="29" fillId="0" borderId="4" xfId="0" applyFont="1" applyBorder="1"/>
    <xf numFmtId="2" fontId="29" fillId="0" borderId="0" xfId="0" applyNumberFormat="1" applyFont="1" applyAlignment="1">
      <alignment horizontal="center"/>
    </xf>
    <xf numFmtId="0" fontId="39" fillId="0" borderId="0" xfId="0" applyFont="1" applyAlignment="1">
      <alignment horizontal="center" vertical="center"/>
    </xf>
    <xf numFmtId="0" fontId="40" fillId="0" borderId="0" xfId="0" applyFont="1" applyAlignment="1">
      <alignment horizontal="center" vertical="center" wrapText="1"/>
    </xf>
    <xf numFmtId="0" fontId="39" fillId="0" borderId="0" xfId="0" applyFont="1" applyAlignment="1">
      <alignment horizontal="center" vertical="center" wrapText="1"/>
    </xf>
    <xf numFmtId="0" fontId="41" fillId="0" borderId="0" xfId="0" applyFont="1" applyAlignment="1">
      <alignment vertical="center" wrapText="1"/>
    </xf>
    <xf numFmtId="0" fontId="41" fillId="0" borderId="0" xfId="0" applyFont="1" applyAlignment="1">
      <alignment horizontal="center" vertical="center" wrapText="1"/>
    </xf>
    <xf numFmtId="1" fontId="23" fillId="0" borderId="6" xfId="0" applyNumberFormat="1" applyFont="1" applyBorder="1" applyAlignment="1">
      <alignment horizontal="right" indent="1"/>
    </xf>
    <xf numFmtId="1" fontId="0" fillId="0" borderId="3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166" fontId="17" fillId="0" borderId="3" xfId="0" applyNumberFormat="1" applyFont="1" applyBorder="1" applyAlignment="1">
      <alignment horizontal="center"/>
    </xf>
    <xf numFmtId="0" fontId="17" fillId="6" borderId="6" xfId="0" applyFont="1" applyFill="1" applyBorder="1" applyAlignment="1">
      <alignment horizontal="center"/>
    </xf>
    <xf numFmtId="3" fontId="15" fillId="6" borderId="6" xfId="0" applyNumberFormat="1" applyFont="1" applyFill="1" applyBorder="1" applyAlignment="1">
      <alignment horizontal="right" indent="1"/>
    </xf>
    <xf numFmtId="3" fontId="17" fillId="9" borderId="6" xfId="0" applyNumberFormat="1" applyFont="1" applyFill="1" applyBorder="1" applyAlignment="1">
      <alignment horizontal="right" indent="1"/>
    </xf>
    <xf numFmtId="10" fontId="15" fillId="6" borderId="6" xfId="2" applyNumberFormat="1" applyFont="1" applyFill="1" applyBorder="1" applyAlignment="1">
      <alignment horizontal="center"/>
    </xf>
    <xf numFmtId="0" fontId="16" fillId="0" borderId="6" xfId="0" applyFont="1" applyBorder="1" applyAlignment="1">
      <alignment horizontal="right" indent="1"/>
    </xf>
    <xf numFmtId="1" fontId="17" fillId="11" borderId="6" xfId="2" applyNumberFormat="1" applyFont="1" applyFill="1" applyBorder="1" applyAlignment="1">
      <alignment horizontal="right" indent="1"/>
    </xf>
    <xf numFmtId="9" fontId="17" fillId="8" borderId="6" xfId="2" applyFont="1" applyFill="1" applyBorder="1" applyAlignment="1">
      <alignment horizontal="right" indent="1"/>
    </xf>
    <xf numFmtId="1" fontId="17" fillId="25" borderId="6" xfId="0" applyNumberFormat="1" applyFont="1" applyFill="1" applyBorder="1" applyAlignment="1">
      <alignment horizontal="right" indent="1"/>
    </xf>
    <xf numFmtId="0" fontId="17" fillId="8" borderId="6" xfId="0" applyFont="1" applyFill="1" applyBorder="1"/>
    <xf numFmtId="167" fontId="17" fillId="8" borderId="6" xfId="0" applyNumberFormat="1" applyFont="1" applyFill="1" applyBorder="1" applyAlignment="1">
      <alignment horizontal="right" indent="1"/>
    </xf>
    <xf numFmtId="0" fontId="24" fillId="27" borderId="5" xfId="0" applyFont="1" applyFill="1" applyBorder="1"/>
    <xf numFmtId="0" fontId="15" fillId="10" borderId="5" xfId="0" applyFont="1" applyFill="1" applyBorder="1" applyAlignment="1">
      <alignment vertical="center"/>
    </xf>
    <xf numFmtId="0" fontId="42" fillId="10" borderId="6" xfId="0" applyFont="1" applyFill="1" applyBorder="1" applyAlignment="1">
      <alignment horizontal="center" vertical="center"/>
    </xf>
    <xf numFmtId="2" fontId="15" fillId="10" borderId="6" xfId="0" applyNumberFormat="1" applyFont="1" applyFill="1" applyBorder="1" applyAlignment="1">
      <alignment horizontal="right" vertical="center"/>
    </xf>
    <xf numFmtId="10" fontId="17" fillId="0" borderId="6" xfId="2" applyNumberFormat="1" applyFont="1" applyFill="1" applyBorder="1" applyAlignment="1">
      <alignment horizontal="center"/>
    </xf>
    <xf numFmtId="2" fontId="17" fillId="9" borderId="10" xfId="0" applyNumberFormat="1" applyFont="1" applyFill="1" applyBorder="1" applyAlignment="1">
      <alignment horizontal="right" indent="1"/>
    </xf>
    <xf numFmtId="0" fontId="15" fillId="0" borderId="9" xfId="0" applyFont="1" applyBorder="1"/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24" fillId="28" borderId="5" xfId="0" applyFont="1" applyFill="1" applyBorder="1" applyAlignment="1">
      <alignment vertical="center" wrapText="1"/>
    </xf>
    <xf numFmtId="0" fontId="23" fillId="28" borderId="6" xfId="0" applyFont="1" applyFill="1" applyBorder="1" applyAlignment="1">
      <alignment horizontal="center" vertical="center"/>
    </xf>
    <xf numFmtId="2" fontId="23" fillId="28" borderId="6" xfId="0" applyNumberFormat="1" applyFont="1" applyFill="1" applyBorder="1" applyAlignment="1">
      <alignment horizontal="right" vertical="center" indent="1"/>
    </xf>
    <xf numFmtId="0" fontId="31" fillId="17" borderId="6" xfId="0" applyFont="1" applyFill="1" applyBorder="1" applyAlignment="1">
      <alignment horizontal="center" vertical="center"/>
    </xf>
    <xf numFmtId="0" fontId="19" fillId="0" borderId="5" xfId="0" applyFont="1" applyBorder="1" applyAlignment="1">
      <alignment horizontal="right" vertical="center"/>
    </xf>
    <xf numFmtId="0" fontId="0" fillId="11" borderId="0" xfId="0" applyFill="1" applyAlignment="1">
      <alignment horizontal="right"/>
    </xf>
    <xf numFmtId="1" fontId="15" fillId="11" borderId="6" xfId="0" applyNumberFormat="1" applyFont="1" applyFill="1" applyBorder="1" applyAlignment="1">
      <alignment horizontal="right" indent="1"/>
    </xf>
    <xf numFmtId="0" fontId="19" fillId="0" borderId="5" xfId="0" applyFont="1" applyBorder="1" applyAlignment="1">
      <alignment horizontal="right"/>
    </xf>
    <xf numFmtId="2" fontId="15" fillId="10" borderId="6" xfId="0" applyNumberFormat="1" applyFont="1" applyFill="1" applyBorder="1" applyAlignment="1">
      <alignment horizontal="right" indent="1"/>
    </xf>
    <xf numFmtId="0" fontId="29" fillId="0" borderId="3" xfId="0" applyFont="1" applyBorder="1" applyAlignment="1">
      <alignment horizontal="right"/>
    </xf>
    <xf numFmtId="1" fontId="15" fillId="6" borderId="6" xfId="0" applyNumberFormat="1" applyFont="1" applyFill="1" applyBorder="1" applyAlignment="1">
      <alignment horizontal="right" indent="1"/>
    </xf>
    <xf numFmtId="0" fontId="23" fillId="0" borderId="6" xfId="0" applyFont="1" applyBorder="1"/>
    <xf numFmtId="9" fontId="15" fillId="0" borderId="8" xfId="0" applyNumberFormat="1" applyFont="1" applyBorder="1" applyAlignment="1">
      <alignment horizontal="right" indent="1"/>
    </xf>
    <xf numFmtId="3" fontId="15" fillId="0" borderId="8" xfId="0" applyNumberFormat="1" applyFont="1" applyBorder="1" applyAlignment="1">
      <alignment horizontal="right" indent="1"/>
    </xf>
    <xf numFmtId="0" fontId="15" fillId="11" borderId="7" xfId="0" applyFont="1" applyFill="1" applyBorder="1"/>
    <xf numFmtId="0" fontId="17" fillId="11" borderId="8" xfId="0" applyFont="1" applyFill="1" applyBorder="1" applyAlignment="1">
      <alignment horizontal="center"/>
    </xf>
    <xf numFmtId="2" fontId="15" fillId="11" borderId="8" xfId="0" applyNumberFormat="1" applyFont="1" applyFill="1" applyBorder="1" applyAlignment="1">
      <alignment horizontal="right" indent="1"/>
    </xf>
    <xf numFmtId="0" fontId="15" fillId="11" borderId="9" xfId="0" applyFont="1" applyFill="1" applyBorder="1"/>
    <xf numFmtId="0" fontId="15" fillId="11" borderId="17" xfId="0" applyFont="1" applyFill="1" applyBorder="1"/>
    <xf numFmtId="2" fontId="15" fillId="11" borderId="10" xfId="0" applyNumberFormat="1" applyFont="1" applyFill="1" applyBorder="1" applyAlignment="1">
      <alignment horizontal="right" indent="1"/>
    </xf>
    <xf numFmtId="0" fontId="15" fillId="11" borderId="18" xfId="0" applyFont="1" applyFill="1" applyBorder="1"/>
    <xf numFmtId="0" fontId="23" fillId="0" borderId="7" xfId="0" applyFont="1" applyBorder="1"/>
    <xf numFmtId="0" fontId="23" fillId="0" borderId="8" xfId="0" applyFont="1" applyBorder="1"/>
    <xf numFmtId="0" fontId="23" fillId="0" borderId="9" xfId="0" applyFont="1" applyBorder="1"/>
    <xf numFmtId="0" fontId="23" fillId="0" borderId="17" xfId="0" applyFont="1" applyBorder="1"/>
    <xf numFmtId="0" fontId="23" fillId="0" borderId="10" xfId="0" applyFont="1" applyBorder="1"/>
    <xf numFmtId="0" fontId="34" fillId="0" borderId="0" xfId="5"/>
    <xf numFmtId="3" fontId="15" fillId="0" borderId="10" xfId="0" applyNumberFormat="1" applyFont="1" applyBorder="1" applyAlignment="1">
      <alignment horizontal="right" indent="1"/>
    </xf>
    <xf numFmtId="3" fontId="23" fillId="18" borderId="6" xfId="0" applyNumberFormat="1" applyFont="1" applyFill="1" applyBorder="1" applyAlignment="1">
      <alignment horizontal="right" indent="1"/>
    </xf>
    <xf numFmtId="0" fontId="17" fillId="5" borderId="3" xfId="0" applyFont="1" applyFill="1" applyBorder="1" applyAlignment="1">
      <alignment horizontal="center" vertical="center" wrapText="1"/>
    </xf>
    <xf numFmtId="0" fontId="31" fillId="0" borderId="6" xfId="0" applyFont="1" applyBorder="1" applyAlignment="1">
      <alignment vertical="center"/>
    </xf>
    <xf numFmtId="10" fontId="15" fillId="8" borderId="6" xfId="2" applyNumberFormat="1" applyFont="1" applyFill="1" applyBorder="1" applyAlignment="1">
      <alignment horizontal="center"/>
    </xf>
    <xf numFmtId="1" fontId="15" fillId="8" borderId="6" xfId="0" applyNumberFormat="1" applyFont="1" applyFill="1" applyBorder="1" applyAlignment="1">
      <alignment horizontal="right" indent="1"/>
    </xf>
    <xf numFmtId="0" fontId="17" fillId="0" borderId="10" xfId="0" applyFont="1" applyBorder="1" applyAlignment="1">
      <alignment horizontal="left"/>
    </xf>
    <xf numFmtId="9" fontId="17" fillId="0" borderId="10" xfId="0" applyNumberFormat="1" applyFont="1" applyBorder="1" applyAlignment="1">
      <alignment horizontal="right" indent="1"/>
    </xf>
    <xf numFmtId="9" fontId="17" fillId="11" borderId="6" xfId="2" applyFont="1" applyFill="1" applyBorder="1" applyAlignment="1">
      <alignment horizontal="right" indent="1"/>
    </xf>
    <xf numFmtId="168" fontId="15" fillId="0" borderId="6" xfId="2" applyNumberFormat="1" applyFont="1" applyFill="1" applyBorder="1" applyAlignment="1">
      <alignment horizontal="center"/>
    </xf>
    <xf numFmtId="0" fontId="15" fillId="6" borderId="7" xfId="0" applyFont="1" applyFill="1" applyBorder="1"/>
    <xf numFmtId="0" fontId="19" fillId="11" borderId="8" xfId="0" applyFont="1" applyFill="1" applyBorder="1" applyAlignment="1">
      <alignment horizontal="center"/>
    </xf>
    <xf numFmtId="2" fontId="17" fillId="11" borderId="8" xfId="0" applyNumberFormat="1" applyFont="1" applyFill="1" applyBorder="1" applyAlignment="1">
      <alignment horizontal="right" indent="1"/>
    </xf>
    <xf numFmtId="0" fontId="15" fillId="6" borderId="17" xfId="0" applyFont="1" applyFill="1" applyBorder="1"/>
    <xf numFmtId="0" fontId="19" fillId="11" borderId="10" xfId="0" applyFont="1" applyFill="1" applyBorder="1" applyAlignment="1">
      <alignment horizontal="center"/>
    </xf>
    <xf numFmtId="2" fontId="17" fillId="11" borderId="10" xfId="0" applyNumberFormat="1" applyFont="1" applyFill="1" applyBorder="1" applyAlignment="1">
      <alignment horizontal="right" indent="1"/>
    </xf>
    <xf numFmtId="167" fontId="15" fillId="25" borderId="6" xfId="0" applyNumberFormat="1" applyFont="1" applyFill="1" applyBorder="1" applyAlignment="1">
      <alignment horizontal="right" indent="1"/>
    </xf>
    <xf numFmtId="9" fontId="15" fillId="7" borderId="6" xfId="0" applyNumberFormat="1" applyFont="1" applyFill="1" applyBorder="1" applyAlignment="1">
      <alignment horizontal="center"/>
    </xf>
    <xf numFmtId="0" fontId="0" fillId="0" borderId="6" xfId="0" applyBorder="1" applyAlignment="1">
      <alignment horizontal="center" vertical="center" wrapText="1"/>
    </xf>
    <xf numFmtId="0" fontId="15" fillId="8" borderId="5" xfId="0" applyFont="1" applyFill="1" applyBorder="1" applyAlignment="1">
      <alignment horizontal="left"/>
    </xf>
    <xf numFmtId="0" fontId="15" fillId="9" borderId="5" xfId="0" applyFont="1" applyFill="1" applyBorder="1" applyAlignment="1">
      <alignment vertical="center" wrapText="1"/>
    </xf>
    <xf numFmtId="183" fontId="17" fillId="5" borderId="6" xfId="0" applyNumberFormat="1" applyFont="1" applyFill="1" applyBorder="1" applyProtection="1">
      <protection locked="0"/>
    </xf>
    <xf numFmtId="0" fontId="24" fillId="0" borderId="6" xfId="0" applyFont="1" applyBorder="1" applyAlignment="1">
      <alignment horizontal="center"/>
    </xf>
    <xf numFmtId="0" fontId="23" fillId="0" borderId="5" xfId="0" applyFont="1" applyBorder="1" applyAlignment="1">
      <alignment horizontal="left" vertical="center"/>
    </xf>
    <xf numFmtId="10" fontId="17" fillId="0" borderId="5" xfId="0" applyNumberFormat="1" applyFont="1" applyBorder="1"/>
    <xf numFmtId="164" fontId="17" fillId="0" borderId="6" xfId="0" applyNumberFormat="1" applyFont="1" applyBorder="1"/>
    <xf numFmtId="0" fontId="22" fillId="5" borderId="5" xfId="0" applyFont="1" applyFill="1" applyBorder="1" applyAlignment="1">
      <alignment horizontal="center" vertical="center"/>
    </xf>
    <xf numFmtId="0" fontId="0" fillId="5" borderId="6" xfId="0" applyFill="1" applyBorder="1" applyAlignment="1">
      <alignment vertical="center"/>
    </xf>
    <xf numFmtId="0" fontId="21" fillId="5" borderId="6" xfId="0" applyFont="1" applyFill="1" applyBorder="1" applyAlignment="1">
      <alignment horizontal="right" vertical="center"/>
    </xf>
    <xf numFmtId="0" fontId="22" fillId="0" borderId="5" xfId="0" applyFont="1" applyBorder="1" applyAlignment="1">
      <alignment horizontal="left" vertical="center"/>
    </xf>
    <xf numFmtId="0" fontId="24" fillId="0" borderId="6" xfId="0" applyFont="1" applyBorder="1"/>
    <xf numFmtId="0" fontId="16" fillId="0" borderId="5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29" fillId="0" borderId="3" xfId="0" applyFont="1" applyBorder="1" applyAlignment="1">
      <alignment horizontal="center" vertical="center" wrapText="1"/>
    </xf>
    <xf numFmtId="2" fontId="29" fillId="0" borderId="4" xfId="0" applyNumberFormat="1" applyFont="1" applyBorder="1" applyAlignment="1">
      <alignment horizontal="center"/>
    </xf>
    <xf numFmtId="0" fontId="24" fillId="0" borderId="3" xfId="0" applyFont="1" applyBorder="1" applyAlignment="1">
      <alignment horizontal="center"/>
    </xf>
    <xf numFmtId="1" fontId="23" fillId="0" borderId="3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164" fontId="17" fillId="0" borderId="6" xfId="0" applyNumberFormat="1" applyFont="1" applyBorder="1" applyAlignment="1">
      <alignment horizontal="center"/>
    </xf>
    <xf numFmtId="167" fontId="29" fillId="5" borderId="6" xfId="0" applyNumberFormat="1" applyFont="1" applyFill="1" applyBorder="1" applyAlignment="1">
      <alignment horizontal="center"/>
    </xf>
    <xf numFmtId="184" fontId="17" fillId="5" borderId="6" xfId="0" applyNumberFormat="1" applyFont="1" applyFill="1" applyBorder="1" applyProtection="1">
      <protection locked="0"/>
    </xf>
    <xf numFmtId="0" fontId="19" fillId="0" borderId="6" xfId="0" applyFont="1" applyBorder="1" applyAlignment="1">
      <alignment horizontal="right" indent="1"/>
    </xf>
    <xf numFmtId="9" fontId="15" fillId="6" borderId="6" xfId="0" applyNumberFormat="1" applyFont="1" applyFill="1" applyBorder="1" applyAlignment="1">
      <alignment horizontal="right" indent="1"/>
    </xf>
    <xf numFmtId="0" fontId="15" fillId="9" borderId="5" xfId="0" applyFont="1" applyFill="1" applyBorder="1" applyAlignment="1">
      <alignment horizontal="left"/>
    </xf>
    <xf numFmtId="0" fontId="17" fillId="25" borderId="6" xfId="0" applyFont="1" applyFill="1" applyBorder="1"/>
    <xf numFmtId="167" fontId="17" fillId="11" borderId="6" xfId="0" applyNumberFormat="1" applyFont="1" applyFill="1" applyBorder="1" applyAlignment="1">
      <alignment horizontal="right" indent="1"/>
    </xf>
    <xf numFmtId="10" fontId="17" fillId="8" borderId="6" xfId="2" applyNumberFormat="1" applyFont="1" applyFill="1" applyBorder="1" applyAlignment="1">
      <alignment horizontal="center"/>
    </xf>
    <xf numFmtId="1" fontId="17" fillId="8" borderId="6" xfId="0" applyNumberFormat="1" applyFont="1" applyFill="1" applyBorder="1" applyAlignment="1">
      <alignment horizontal="right" indent="1"/>
    </xf>
    <xf numFmtId="0" fontId="22" fillId="0" borderId="5" xfId="0" applyFont="1" applyBorder="1" applyAlignment="1">
      <alignment horizontal="center" vertical="center"/>
    </xf>
    <xf numFmtId="0" fontId="29" fillId="0" borderId="0" xfId="0" applyFont="1" applyAlignment="1">
      <alignment horizontal="right"/>
    </xf>
    <xf numFmtId="2" fontId="46" fillId="0" borderId="5" xfId="0" applyNumberFormat="1" applyFont="1" applyBorder="1" applyAlignment="1">
      <alignment horizontal="left"/>
    </xf>
    <xf numFmtId="0" fontId="19" fillId="10" borderId="10" xfId="0" applyFont="1" applyFill="1" applyBorder="1" applyAlignment="1">
      <alignment horizontal="center"/>
    </xf>
    <xf numFmtId="0" fontId="17" fillId="25" borderId="10" xfId="0" applyFont="1" applyFill="1" applyBorder="1"/>
    <xf numFmtId="9" fontId="17" fillId="25" borderId="6" xfId="2" applyFont="1" applyFill="1" applyBorder="1" applyAlignment="1">
      <alignment horizontal="right" indent="1"/>
    </xf>
    <xf numFmtId="167" fontId="17" fillId="25" borderId="6" xfId="0" applyNumberFormat="1" applyFont="1" applyFill="1" applyBorder="1" applyAlignment="1">
      <alignment horizontal="right" indent="1"/>
    </xf>
    <xf numFmtId="2" fontId="17" fillId="8" borderId="6" xfId="0" applyNumberFormat="1" applyFont="1" applyFill="1" applyBorder="1" applyAlignment="1">
      <alignment horizontal="right" indent="1"/>
    </xf>
    <xf numFmtId="0" fontId="19" fillId="7" borderId="6" xfId="0" applyFont="1" applyFill="1" applyBorder="1" applyAlignment="1">
      <alignment horizontal="center"/>
    </xf>
    <xf numFmtId="0" fontId="19" fillId="20" borderId="4" xfId="0" applyFont="1" applyFill="1" applyBorder="1"/>
    <xf numFmtId="0" fontId="24" fillId="29" borderId="5" xfId="0" applyFont="1" applyFill="1" applyBorder="1"/>
    <xf numFmtId="0" fontId="23" fillId="29" borderId="6" xfId="0" applyFont="1" applyFill="1" applyBorder="1" applyAlignment="1">
      <alignment horizontal="center"/>
    </xf>
    <xf numFmtId="1" fontId="24" fillId="29" borderId="6" xfId="0" applyNumberFormat="1" applyFont="1" applyFill="1" applyBorder="1" applyAlignment="1">
      <alignment horizontal="right" indent="1"/>
    </xf>
    <xf numFmtId="0" fontId="24" fillId="29" borderId="4" xfId="0" applyFont="1" applyFill="1" applyBorder="1"/>
    <xf numFmtId="1" fontId="24" fillId="30" borderId="6" xfId="0" applyNumberFormat="1" applyFont="1" applyFill="1" applyBorder="1" applyAlignment="1">
      <alignment horizontal="center"/>
    </xf>
    <xf numFmtId="2" fontId="24" fillId="30" borderId="6" xfId="0" applyNumberFormat="1" applyFont="1" applyFill="1" applyBorder="1" applyAlignment="1">
      <alignment horizontal="right" indent="1"/>
    </xf>
    <xf numFmtId="0" fontId="24" fillId="30" borderId="4" xfId="0" applyFont="1" applyFill="1" applyBorder="1"/>
    <xf numFmtId="0" fontId="23" fillId="16" borderId="6" xfId="0" applyFont="1" applyFill="1" applyBorder="1" applyAlignment="1">
      <alignment horizontal="center"/>
    </xf>
    <xf numFmtId="2" fontId="24" fillId="16" borderId="6" xfId="0" applyNumberFormat="1" applyFont="1" applyFill="1" applyBorder="1" applyAlignment="1">
      <alignment horizontal="right" indent="1"/>
    </xf>
    <xf numFmtId="0" fontId="24" fillId="16" borderId="4" xfId="0" applyFont="1" applyFill="1" applyBorder="1"/>
    <xf numFmtId="1" fontId="24" fillId="0" borderId="6" xfId="0" applyNumberFormat="1" applyFont="1" applyBorder="1" applyAlignment="1">
      <alignment horizontal="center"/>
    </xf>
    <xf numFmtId="0" fontId="47" fillId="0" borderId="5" xfId="0" applyFont="1" applyBorder="1"/>
    <xf numFmtId="0" fontId="19" fillId="11" borderId="6" xfId="0" applyFont="1" applyFill="1" applyBorder="1"/>
    <xf numFmtId="0" fontId="29" fillId="0" borderId="3" xfId="0" applyFont="1" applyBorder="1" applyAlignment="1">
      <alignment horizontal="right" vertical="center"/>
    </xf>
    <xf numFmtId="0" fontId="17" fillId="11" borderId="6" xfId="0" applyFont="1" applyFill="1" applyBorder="1" applyAlignment="1">
      <alignment horizontal="center" vertical="center"/>
    </xf>
    <xf numFmtId="0" fontId="17" fillId="11" borderId="4" xfId="0" applyFont="1" applyFill="1" applyBorder="1" applyAlignment="1">
      <alignment vertical="center"/>
    </xf>
    <xf numFmtId="0" fontId="17" fillId="11" borderId="5" xfId="0" applyFont="1" applyFill="1" applyBorder="1" applyAlignment="1">
      <alignment vertical="center" wrapText="1"/>
    </xf>
    <xf numFmtId="2" fontId="15" fillId="11" borderId="6" xfId="0" applyNumberFormat="1" applyFont="1" applyFill="1" applyBorder="1" applyAlignment="1">
      <alignment horizontal="right" vertical="center" indent="1"/>
    </xf>
    <xf numFmtId="0" fontId="15" fillId="10" borderId="8" xfId="0" applyFont="1" applyFill="1" applyBorder="1" applyAlignment="1">
      <alignment vertical="center"/>
    </xf>
    <xf numFmtId="0" fontId="15" fillId="10" borderId="6" xfId="0" applyFont="1" applyFill="1" applyBorder="1" applyAlignment="1">
      <alignment horizontal="left"/>
    </xf>
    <xf numFmtId="0" fontId="15" fillId="25" borderId="6" xfId="0" applyFont="1" applyFill="1" applyBorder="1"/>
    <xf numFmtId="0" fontId="17" fillId="6" borderId="6" xfId="0" applyFont="1" applyFill="1" applyBorder="1"/>
    <xf numFmtId="0" fontId="15" fillId="10" borderId="6" xfId="0" applyFont="1" applyFill="1" applyBorder="1"/>
    <xf numFmtId="0" fontId="15" fillId="25" borderId="6" xfId="0" applyFont="1" applyFill="1" applyBorder="1" applyAlignment="1">
      <alignment horizontal="left"/>
    </xf>
    <xf numFmtId="2" fontId="17" fillId="2" borderId="6" xfId="0" applyNumberFormat="1" applyFont="1" applyFill="1" applyBorder="1" applyAlignment="1">
      <alignment horizontal="left" indent="1"/>
    </xf>
    <xf numFmtId="2" fontId="17" fillId="0" borderId="6" xfId="0" applyNumberFormat="1" applyFont="1" applyBorder="1"/>
    <xf numFmtId="0" fontId="15" fillId="11" borderId="6" xfId="0" applyFont="1" applyFill="1" applyBorder="1" applyAlignment="1">
      <alignment horizontal="left"/>
    </xf>
    <xf numFmtId="0" fontId="15" fillId="0" borderId="6" xfId="0" applyFont="1" applyBorder="1"/>
    <xf numFmtId="0" fontId="15" fillId="0" borderId="6" xfId="0" applyFont="1" applyBorder="1" applyAlignment="1">
      <alignment horizontal="left"/>
    </xf>
    <xf numFmtId="0" fontId="17" fillId="11" borderId="8" xfId="0" applyFont="1" applyFill="1" applyBorder="1"/>
    <xf numFmtId="0" fontId="17" fillId="11" borderId="10" xfId="0" applyFont="1" applyFill="1" applyBorder="1"/>
    <xf numFmtId="2" fontId="17" fillId="8" borderId="6" xfId="0" applyNumberFormat="1" applyFont="1" applyFill="1" applyBorder="1"/>
    <xf numFmtId="0" fontId="15" fillId="11" borderId="6" xfId="0" applyFont="1" applyFill="1" applyBorder="1"/>
    <xf numFmtId="2" fontId="17" fillId="6" borderId="6" xfId="0" applyNumberFormat="1" applyFont="1" applyFill="1" applyBorder="1" applyAlignment="1">
      <alignment horizontal="left" indent="1"/>
    </xf>
    <xf numFmtId="0" fontId="15" fillId="0" borderId="8" xfId="0" applyFont="1" applyBorder="1"/>
    <xf numFmtId="2" fontId="17" fillId="7" borderId="6" xfId="0" applyNumberFormat="1" applyFont="1" applyFill="1" applyBorder="1"/>
    <xf numFmtId="0" fontId="17" fillId="7" borderId="8" xfId="0" applyFont="1" applyFill="1" applyBorder="1"/>
    <xf numFmtId="2" fontId="24" fillId="28" borderId="6" xfId="0" applyNumberFormat="1" applyFont="1" applyFill="1" applyBorder="1" applyAlignment="1">
      <alignment horizontal="left" vertical="center"/>
    </xf>
    <xf numFmtId="2" fontId="15" fillId="25" borderId="6" xfId="0" applyNumberFormat="1" applyFont="1" applyFill="1" applyBorder="1"/>
    <xf numFmtId="9" fontId="17" fillId="0" borderId="6" xfId="0" applyNumberFormat="1" applyFont="1" applyBorder="1" applyAlignment="1">
      <alignment horizontal="right" indent="1"/>
    </xf>
    <xf numFmtId="180" fontId="15" fillId="0" borderId="1" xfId="0" applyNumberFormat="1" applyFont="1" applyBorder="1" applyAlignment="1">
      <alignment horizontal="right" vertical="center" indent="1"/>
    </xf>
    <xf numFmtId="1" fontId="17" fillId="0" borderId="3" xfId="0" applyNumberFormat="1" applyFont="1" applyBorder="1" applyAlignment="1">
      <alignment horizontal="right" indent="1"/>
    </xf>
    <xf numFmtId="167" fontId="17" fillId="0" borderId="3" xfId="0" applyNumberFormat="1" applyFont="1" applyBorder="1" applyAlignment="1">
      <alignment horizontal="right" indent="1"/>
    </xf>
    <xf numFmtId="2" fontId="17" fillId="0" borderId="3" xfId="0" applyNumberFormat="1" applyFont="1" applyBorder="1" applyAlignment="1">
      <alignment horizontal="right" indent="1"/>
    </xf>
    <xf numFmtId="9" fontId="17" fillId="0" borderId="3" xfId="2" applyFont="1" applyFill="1" applyBorder="1" applyAlignment="1">
      <alignment horizontal="right" indent="1"/>
    </xf>
    <xf numFmtId="0" fontId="15" fillId="0" borderId="3" xfId="0" applyFont="1" applyBorder="1" applyAlignment="1">
      <alignment horizontal="right" indent="1"/>
    </xf>
    <xf numFmtId="1" fontId="15" fillId="0" borderId="3" xfId="0" applyNumberFormat="1" applyFont="1" applyBorder="1" applyAlignment="1">
      <alignment horizontal="right" indent="1"/>
    </xf>
    <xf numFmtId="2" fontId="17" fillId="0" borderId="3" xfId="2" applyNumberFormat="1" applyFont="1" applyFill="1" applyBorder="1" applyAlignment="1">
      <alignment horizontal="right" indent="1"/>
    </xf>
    <xf numFmtId="2" fontId="15" fillId="0" borderId="3" xfId="0" applyNumberFormat="1" applyFont="1" applyBorder="1" applyAlignment="1">
      <alignment horizontal="right" indent="1"/>
    </xf>
    <xf numFmtId="3" fontId="17" fillId="0" borderId="3" xfId="0" applyNumberFormat="1" applyFont="1" applyBorder="1" applyAlignment="1">
      <alignment horizontal="right" indent="1"/>
    </xf>
    <xf numFmtId="2" fontId="17" fillId="0" borderId="1" xfId="0" applyNumberFormat="1" applyFont="1" applyBorder="1" applyAlignment="1">
      <alignment horizontal="right" indent="1"/>
    </xf>
    <xf numFmtId="2" fontId="17" fillId="0" borderId="2" xfId="0" applyNumberFormat="1" applyFont="1" applyBorder="1" applyAlignment="1">
      <alignment horizontal="right" indent="1"/>
    </xf>
    <xf numFmtId="3" fontId="15" fillId="0" borderId="3" xfId="0" applyNumberFormat="1" applyFont="1" applyBorder="1" applyAlignment="1">
      <alignment horizontal="right" indent="1"/>
    </xf>
    <xf numFmtId="167" fontId="15" fillId="0" borderId="3" xfId="0" applyNumberFormat="1" applyFont="1" applyBorder="1" applyAlignment="1">
      <alignment horizontal="right" indent="1"/>
    </xf>
    <xf numFmtId="166" fontId="15" fillId="0" borderId="3" xfId="0" applyNumberFormat="1" applyFont="1" applyBorder="1" applyAlignment="1">
      <alignment horizontal="right" indent="1"/>
    </xf>
    <xf numFmtId="166" fontId="17" fillId="0" borderId="3" xfId="0" applyNumberFormat="1" applyFont="1" applyBorder="1" applyAlignment="1">
      <alignment horizontal="right" indent="1"/>
    </xf>
    <xf numFmtId="167" fontId="23" fillId="0" borderId="3" xfId="0" applyNumberFormat="1" applyFont="1" applyBorder="1" applyAlignment="1">
      <alignment horizontal="right" vertical="center" indent="1"/>
    </xf>
    <xf numFmtId="2" fontId="15" fillId="0" borderId="1" xfId="0" applyNumberFormat="1" applyFont="1" applyBorder="1" applyAlignment="1">
      <alignment horizontal="right" indent="1"/>
    </xf>
    <xf numFmtId="9" fontId="17" fillId="0" borderId="3" xfId="0" applyNumberFormat="1" applyFont="1" applyBorder="1" applyAlignment="1">
      <alignment horizontal="right" indent="1"/>
    </xf>
    <xf numFmtId="4" fontId="15" fillId="0" borderId="3" xfId="0" applyNumberFormat="1" applyFont="1" applyBorder="1" applyAlignment="1">
      <alignment horizontal="right" indent="1"/>
    </xf>
    <xf numFmtId="9" fontId="17" fillId="0" borderId="2" xfId="2" applyFont="1" applyFill="1" applyBorder="1" applyAlignment="1">
      <alignment horizontal="right" indent="1"/>
    </xf>
    <xf numFmtId="2" fontId="15" fillId="0" borderId="3" xfId="2" applyNumberFormat="1" applyFont="1" applyFill="1" applyBorder="1" applyAlignment="1">
      <alignment horizontal="right" indent="1"/>
    </xf>
    <xf numFmtId="2" fontId="23" fillId="0" borderId="3" xfId="0" applyNumberFormat="1" applyFont="1" applyBorder="1" applyAlignment="1">
      <alignment horizontal="right" vertical="center" indent="1"/>
    </xf>
    <xf numFmtId="1" fontId="17" fillId="0" borderId="3" xfId="2" applyNumberFormat="1" applyFont="1" applyFill="1" applyBorder="1" applyAlignment="1">
      <alignment horizontal="right" indent="1"/>
    </xf>
    <xf numFmtId="0" fontId="15" fillId="0" borderId="8" xfId="0" applyFont="1" applyBorder="1" applyAlignment="1">
      <alignment horizontal="right" indent="1"/>
    </xf>
    <xf numFmtId="0" fontId="20" fillId="0" borderId="6" xfId="0" applyFont="1" applyBorder="1" applyAlignment="1">
      <alignment horizontal="center"/>
    </xf>
    <xf numFmtId="0" fontId="17" fillId="0" borderId="6" xfId="0" applyFont="1" applyBorder="1" applyAlignment="1">
      <alignment horizontal="left"/>
    </xf>
    <xf numFmtId="0" fontId="17" fillId="31" borderId="5" xfId="0" applyFont="1" applyFill="1" applyBorder="1"/>
    <xf numFmtId="0" fontId="17" fillId="31" borderId="6" xfId="0" applyFont="1" applyFill="1" applyBorder="1"/>
    <xf numFmtId="2" fontId="17" fillId="31" borderId="6" xfId="0" applyNumberFormat="1" applyFont="1" applyFill="1" applyBorder="1" applyAlignment="1">
      <alignment horizontal="right" indent="1"/>
    </xf>
    <xf numFmtId="0" fontId="30" fillId="0" borderId="3" xfId="0" applyFont="1" applyBorder="1" applyAlignment="1">
      <alignment horizontal="center" vertical="center" wrapText="1"/>
    </xf>
    <xf numFmtId="166" fontId="30" fillId="0" borderId="3" xfId="0" applyNumberFormat="1" applyFont="1" applyBorder="1" applyAlignment="1">
      <alignment horizontal="center" vertical="center" wrapText="1"/>
    </xf>
    <xf numFmtId="9" fontId="17" fillId="0" borderId="5" xfId="0" applyNumberFormat="1" applyFont="1" applyBorder="1" applyAlignment="1">
      <alignment horizontal="right" indent="1"/>
    </xf>
    <xf numFmtId="2" fontId="23" fillId="0" borderId="4" xfId="0" applyNumberFormat="1" applyFont="1" applyBorder="1" applyAlignment="1">
      <alignment horizontal="right" indent="1"/>
    </xf>
    <xf numFmtId="0" fontId="30" fillId="0" borderId="5" xfId="0" applyFont="1" applyBorder="1" applyAlignment="1">
      <alignment horizontal="center" vertical="center" wrapText="1"/>
    </xf>
    <xf numFmtId="0" fontId="16" fillId="0" borderId="5" xfId="0" applyFont="1" applyBorder="1"/>
    <xf numFmtId="0" fontId="15" fillId="0" borderId="6" xfId="0" applyFont="1" applyBorder="1" applyAlignment="1">
      <alignment horizontal="right" indent="1"/>
    </xf>
    <xf numFmtId="0" fontId="18" fillId="0" borderId="6" xfId="0" applyFont="1" applyBorder="1" applyAlignment="1">
      <alignment horizontal="center"/>
    </xf>
    <xf numFmtId="0" fontId="18" fillId="0" borderId="6" xfId="0" applyFont="1" applyBorder="1" applyAlignment="1">
      <alignment horizontal="right" indent="1"/>
    </xf>
    <xf numFmtId="0" fontId="18" fillId="0" borderId="4" xfId="0" applyFont="1" applyBorder="1"/>
    <xf numFmtId="2" fontId="17" fillId="10" borderId="0" xfId="0" applyNumberFormat="1" applyFont="1" applyFill="1" applyAlignment="1">
      <alignment horizontal="right" indent="1"/>
    </xf>
    <xf numFmtId="0" fontId="28" fillId="0" borderId="17" xfId="0" applyFont="1" applyBorder="1" applyAlignment="1">
      <alignment horizontal="left"/>
    </xf>
    <xf numFmtId="1" fontId="24" fillId="0" borderId="6" xfId="0" applyNumberFormat="1" applyFont="1" applyBorder="1" applyAlignment="1">
      <alignment horizontal="right" indent="1"/>
    </xf>
    <xf numFmtId="2" fontId="17" fillId="0" borderId="8" xfId="0" applyNumberFormat="1" applyFont="1" applyBorder="1" applyAlignment="1">
      <alignment horizontal="right" indent="1"/>
    </xf>
    <xf numFmtId="2" fontId="17" fillId="0" borderId="10" xfId="0" applyNumberFormat="1" applyFont="1" applyBorder="1" applyAlignment="1">
      <alignment horizontal="right" indent="1"/>
    </xf>
    <xf numFmtId="2" fontId="17" fillId="0" borderId="6" xfId="0" applyNumberFormat="1" applyFont="1" applyBorder="1" applyAlignment="1">
      <alignment horizontal="right" vertical="center" indent="1"/>
    </xf>
    <xf numFmtId="172" fontId="17" fillId="0" borderId="10" xfId="0" applyNumberFormat="1" applyFont="1" applyBorder="1" applyAlignment="1">
      <alignment horizontal="right" vertical="center" indent="1"/>
    </xf>
    <xf numFmtId="2" fontId="23" fillId="0" borderId="6" xfId="0" applyNumberFormat="1" applyFont="1" applyBorder="1" applyAlignment="1">
      <alignment horizontal="right" vertical="center" indent="1"/>
    </xf>
    <xf numFmtId="0" fontId="23" fillId="0" borderId="9" xfId="0" applyFont="1" applyBorder="1" applyAlignment="1">
      <alignment horizontal="center"/>
    </xf>
    <xf numFmtId="9" fontId="15" fillId="0" borderId="6" xfId="0" applyNumberFormat="1" applyFont="1" applyBorder="1" applyAlignment="1">
      <alignment horizontal="right" indent="1"/>
    </xf>
    <xf numFmtId="183" fontId="17" fillId="0" borderId="6" xfId="0" applyNumberFormat="1" applyFont="1" applyBorder="1" applyProtection="1">
      <protection locked="0"/>
    </xf>
    <xf numFmtId="184" fontId="17" fillId="0" borderId="6" xfId="0" applyNumberFormat="1" applyFont="1" applyBorder="1" applyProtection="1">
      <protection locked="0"/>
    </xf>
    <xf numFmtId="167" fontId="29" fillId="5" borderId="6" xfId="0" applyNumberFormat="1" applyFont="1" applyFill="1" applyBorder="1" applyAlignment="1">
      <alignment horizontal="left"/>
    </xf>
    <xf numFmtId="1" fontId="23" fillId="0" borderId="6" xfId="0" applyNumberFormat="1" applyFon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185" fontId="23" fillId="0" borderId="4" xfId="0" applyNumberFormat="1" applyFont="1" applyBorder="1"/>
    <xf numFmtId="2" fontId="29" fillId="0" borderId="6" xfId="0" applyNumberFormat="1" applyFont="1" applyBorder="1" applyAlignment="1">
      <alignment horizontal="right"/>
    </xf>
    <xf numFmtId="2" fontId="29" fillId="0" borderId="6" xfId="0" applyNumberFormat="1" applyFont="1" applyBorder="1" applyAlignment="1">
      <alignment horizontal="right" indent="1"/>
    </xf>
    <xf numFmtId="0" fontId="18" fillId="0" borderId="0" xfId="0" applyFont="1" applyAlignment="1">
      <alignment horizontal="right"/>
    </xf>
    <xf numFmtId="167" fontId="47" fillId="5" borderId="5" xfId="0" applyNumberFormat="1" applyFont="1" applyFill="1" applyBorder="1" applyAlignment="1">
      <alignment horizontal="center"/>
    </xf>
    <xf numFmtId="0" fontId="18" fillId="0" borderId="6" xfId="0" applyFont="1" applyBorder="1" applyAlignment="1">
      <alignment horizontal="right"/>
    </xf>
    <xf numFmtId="167" fontId="46" fillId="0" borderId="5" xfId="0" applyNumberFormat="1" applyFont="1" applyBorder="1" applyAlignment="1">
      <alignment horizontal="center"/>
    </xf>
    <xf numFmtId="10" fontId="17" fillId="0" borderId="8" xfId="0" applyNumberFormat="1" applyFont="1" applyBorder="1"/>
    <xf numFmtId="164" fontId="17" fillId="0" borderId="8" xfId="0" applyNumberFormat="1" applyFont="1" applyBorder="1"/>
    <xf numFmtId="0" fontId="22" fillId="0" borderId="3" xfId="0" applyFont="1" applyBorder="1" applyAlignment="1">
      <alignment horizontal="center" vertical="center"/>
    </xf>
    <xf numFmtId="0" fontId="0" fillId="0" borderId="5" xfId="0" applyBorder="1"/>
    <xf numFmtId="0" fontId="29" fillId="0" borderId="6" xfId="0" applyFont="1" applyBorder="1"/>
    <xf numFmtId="185" fontId="23" fillId="0" borderId="6" xfId="0" applyNumberFormat="1" applyFont="1" applyBorder="1"/>
    <xf numFmtId="0" fontId="23" fillId="0" borderId="6" xfId="0" applyFont="1" applyBorder="1" applyAlignment="1">
      <alignment horizontal="left"/>
    </xf>
    <xf numFmtId="2" fontId="29" fillId="0" borderId="6" xfId="0" applyNumberFormat="1" applyFont="1" applyBorder="1" applyAlignment="1">
      <alignment horizontal="left"/>
    </xf>
    <xf numFmtId="2" fontId="23" fillId="0" borderId="2" xfId="0" applyNumberFormat="1" applyFont="1" applyBorder="1" applyAlignment="1">
      <alignment horizontal="right" vertical="center" indent="1"/>
    </xf>
    <xf numFmtId="2" fontId="0" fillId="0" borderId="5" xfId="0" applyNumberFormat="1" applyBorder="1" applyAlignment="1">
      <alignment horizontal="center" vertical="center" wrapText="1"/>
    </xf>
    <xf numFmtId="0" fontId="0" fillId="0" borderId="6" xfId="0" applyBorder="1" applyAlignment="1">
      <alignment vertical="center"/>
    </xf>
    <xf numFmtId="2" fontId="23" fillId="0" borderId="3" xfId="0" applyNumberFormat="1" applyFont="1" applyBorder="1" applyAlignment="1">
      <alignment horizontal="right" vertical="center"/>
    </xf>
    <xf numFmtId="2" fontId="0" fillId="0" borderId="5" xfId="0" applyNumberFormat="1" applyBorder="1" applyAlignment="1">
      <alignment horizontal="center"/>
    </xf>
    <xf numFmtId="2" fontId="21" fillId="0" borderId="5" xfId="0" applyNumberFormat="1" applyFont="1" applyBorder="1" applyAlignment="1">
      <alignment horizontal="center" wrapText="1"/>
    </xf>
    <xf numFmtId="0" fontId="29" fillId="0" borderId="4" xfId="0" applyFont="1" applyBorder="1" applyAlignment="1">
      <alignment vertical="center"/>
    </xf>
    <xf numFmtId="0" fontId="23" fillId="0" borderId="6" xfId="0" applyFont="1" applyBorder="1" applyAlignment="1">
      <alignment vertical="center"/>
    </xf>
    <xf numFmtId="0" fontId="16" fillId="0" borderId="6" xfId="0" applyFont="1" applyBorder="1" applyAlignment="1">
      <alignment vertical="center"/>
    </xf>
    <xf numFmtId="2" fontId="29" fillId="0" borderId="6" xfId="0" applyNumberFormat="1" applyFont="1" applyBorder="1" applyAlignment="1">
      <alignment horizontal="right" vertical="center" indent="1"/>
    </xf>
    <xf numFmtId="0" fontId="24" fillId="0" borderId="6" xfId="0" applyFont="1" applyBorder="1" applyAlignment="1">
      <alignment horizontal="right" indent="1"/>
    </xf>
    <xf numFmtId="0" fontId="0" fillId="0" borderId="7" xfId="0" applyBorder="1" applyAlignment="1">
      <alignment horizontal="center"/>
    </xf>
    <xf numFmtId="0" fontId="29" fillId="0" borderId="9" xfId="0" applyFont="1" applyBorder="1"/>
    <xf numFmtId="0" fontId="0" fillId="0" borderId="17" xfId="0" applyBorder="1" applyAlignment="1">
      <alignment horizontal="center"/>
    </xf>
    <xf numFmtId="166" fontId="17" fillId="0" borderId="5" xfId="0" applyNumberFormat="1" applyFont="1" applyBorder="1" applyAlignment="1">
      <alignment horizontal="center"/>
    </xf>
    <xf numFmtId="2" fontId="21" fillId="0" borderId="7" xfId="0" applyNumberFormat="1" applyFont="1" applyBorder="1" applyAlignment="1">
      <alignment horizontal="center" wrapText="1"/>
    </xf>
    <xf numFmtId="2" fontId="47" fillId="5" borderId="6" xfId="0" applyNumberFormat="1" applyFont="1" applyFill="1" applyBorder="1" applyAlignment="1">
      <alignment horizontal="right" indent="1"/>
    </xf>
    <xf numFmtId="167" fontId="47" fillId="5" borderId="6" xfId="0" applyNumberFormat="1" applyFont="1" applyFill="1" applyBorder="1"/>
    <xf numFmtId="167" fontId="47" fillId="5" borderId="4" xfId="0" applyNumberFormat="1" applyFont="1" applyFill="1" applyBorder="1"/>
    <xf numFmtId="2" fontId="23" fillId="0" borderId="1" xfId="0" applyNumberFormat="1" applyFont="1" applyBorder="1" applyAlignment="1">
      <alignment horizontal="right" vertical="center" indent="1"/>
    </xf>
    <xf numFmtId="2" fontId="29" fillId="0" borderId="3" xfId="0" applyNumberFormat="1" applyFont="1" applyBorder="1" applyAlignment="1">
      <alignment horizontal="right" indent="1"/>
    </xf>
    <xf numFmtId="3" fontId="23" fillId="0" borderId="3" xfId="0" applyNumberFormat="1" applyFont="1" applyBorder="1" applyAlignment="1">
      <alignment horizontal="right" indent="1"/>
    </xf>
    <xf numFmtId="185" fontId="23" fillId="0" borderId="3" xfId="0" applyNumberFormat="1" applyFont="1" applyBorder="1" applyAlignment="1">
      <alignment horizontal="right" indent="1"/>
    </xf>
    <xf numFmtId="2" fontId="29" fillId="0" borderId="3" xfId="0" applyNumberFormat="1" applyFont="1" applyBorder="1" applyAlignment="1">
      <alignment horizontal="right"/>
    </xf>
    <xf numFmtId="1" fontId="23" fillId="0" borderId="3" xfId="0" applyNumberFormat="1" applyFont="1" applyBorder="1" applyAlignment="1">
      <alignment horizontal="right" indent="1"/>
    </xf>
    <xf numFmtId="4" fontId="23" fillId="0" borderId="3" xfId="0" applyNumberFormat="1" applyFont="1" applyBorder="1" applyAlignment="1">
      <alignment horizontal="right" indent="1"/>
    </xf>
    <xf numFmtId="2" fontId="47" fillId="5" borderId="6" xfId="0" applyNumberFormat="1" applyFont="1" applyFill="1" applyBorder="1" applyAlignment="1">
      <alignment horizontal="right" vertical="center" indent="1"/>
    </xf>
    <xf numFmtId="0" fontId="47" fillId="5" borderId="4" xfId="0" applyFont="1" applyFill="1" applyBorder="1" applyAlignment="1">
      <alignment vertical="center"/>
    </xf>
    <xf numFmtId="9" fontId="17" fillId="0" borderId="7" xfId="0" applyNumberFormat="1" applyFont="1" applyBorder="1" applyAlignment="1">
      <alignment horizontal="right" indent="1"/>
    </xf>
    <xf numFmtId="2" fontId="23" fillId="0" borderId="9" xfId="0" applyNumberFormat="1" applyFont="1" applyBorder="1" applyAlignment="1">
      <alignment horizontal="right" indent="1"/>
    </xf>
    <xf numFmtId="9" fontId="17" fillId="0" borderId="17" xfId="0" applyNumberFormat="1" applyFont="1" applyBorder="1" applyAlignment="1">
      <alignment horizontal="right" indent="1"/>
    </xf>
    <xf numFmtId="2" fontId="23" fillId="0" borderId="18" xfId="0" applyNumberFormat="1" applyFont="1" applyBorder="1" applyAlignment="1">
      <alignment horizontal="right" indent="1"/>
    </xf>
    <xf numFmtId="2" fontId="17" fillId="0" borderId="3" xfId="0" applyNumberFormat="1" applyFont="1" applyBorder="1" applyAlignment="1">
      <alignment horizontal="right" vertical="center" indent="1"/>
    </xf>
    <xf numFmtId="166" fontId="17" fillId="0" borderId="3" xfId="0" applyNumberFormat="1" applyFont="1" applyBorder="1" applyAlignment="1">
      <alignment horizontal="right" vertical="center" indent="1"/>
    </xf>
    <xf numFmtId="0" fontId="16" fillId="0" borderId="5" xfId="0" applyFont="1" applyBorder="1" applyAlignment="1">
      <alignment horizontal="left"/>
    </xf>
    <xf numFmtId="0" fontId="16" fillId="0" borderId="7" xfId="0" applyFont="1" applyBorder="1" applyAlignment="1">
      <alignment horizontal="right"/>
    </xf>
    <xf numFmtId="0" fontId="16" fillId="0" borderId="17" xfId="0" applyFont="1" applyBorder="1"/>
    <xf numFmtId="9" fontId="17" fillId="0" borderId="1" xfId="0" applyNumberFormat="1" applyFont="1" applyBorder="1" applyAlignment="1">
      <alignment horizontal="right" indent="1"/>
    </xf>
    <xf numFmtId="2" fontId="23" fillId="0" borderId="1" xfId="0" applyNumberFormat="1" applyFont="1" applyBorder="1" applyAlignment="1">
      <alignment horizontal="right" indent="1"/>
    </xf>
    <xf numFmtId="9" fontId="17" fillId="0" borderId="2" xfId="0" applyNumberFormat="1" applyFont="1" applyBorder="1" applyAlignment="1">
      <alignment horizontal="right" indent="1"/>
    </xf>
    <xf numFmtId="2" fontId="23" fillId="0" borderId="2" xfId="0" applyNumberFormat="1" applyFont="1" applyBorder="1" applyAlignment="1">
      <alignment horizontal="right" indent="1"/>
    </xf>
    <xf numFmtId="0" fontId="23" fillId="32" borderId="5" xfId="0" applyFont="1" applyFill="1" applyBorder="1"/>
    <xf numFmtId="0" fontId="23" fillId="32" borderId="6" xfId="0" applyFont="1" applyFill="1" applyBorder="1" applyAlignment="1">
      <alignment horizontal="center"/>
    </xf>
    <xf numFmtId="0" fontId="0" fillId="32" borderId="6" xfId="0" applyFill="1" applyBorder="1"/>
    <xf numFmtId="2" fontId="23" fillId="32" borderId="6" xfId="0" applyNumberFormat="1" applyFont="1" applyFill="1" applyBorder="1" applyAlignment="1">
      <alignment horizontal="right" indent="1"/>
    </xf>
    <xf numFmtId="0" fontId="23" fillId="32" borderId="6" xfId="0" applyFont="1" applyFill="1" applyBorder="1"/>
    <xf numFmtId="0" fontId="23" fillId="32" borderId="5" xfId="0" applyFont="1" applyFill="1" applyBorder="1" applyAlignment="1">
      <alignment horizontal="left"/>
    </xf>
    <xf numFmtId="0" fontId="23" fillId="32" borderId="6" xfId="0" applyFont="1" applyFill="1" applyBorder="1" applyAlignment="1">
      <alignment horizontal="left"/>
    </xf>
    <xf numFmtId="0" fontId="23" fillId="32" borderId="5" xfId="0" applyFont="1" applyFill="1" applyBorder="1" applyAlignment="1">
      <alignment vertical="center" wrapText="1"/>
    </xf>
    <xf numFmtId="3" fontId="23" fillId="32" borderId="6" xfId="0" applyNumberFormat="1" applyFont="1" applyFill="1" applyBorder="1" applyAlignment="1">
      <alignment horizontal="right" indent="1"/>
    </xf>
    <xf numFmtId="0" fontId="23" fillId="32" borderId="4" xfId="0" applyFont="1" applyFill="1" applyBorder="1"/>
    <xf numFmtId="1" fontId="23" fillId="32" borderId="6" xfId="0" applyNumberFormat="1" applyFont="1" applyFill="1" applyBorder="1" applyAlignment="1">
      <alignment horizontal="right" indent="1"/>
    </xf>
    <xf numFmtId="0" fontId="23" fillId="32" borderId="4" xfId="0" applyFont="1" applyFill="1" applyBorder="1" applyAlignment="1">
      <alignment horizontal="left"/>
    </xf>
    <xf numFmtId="0" fontId="23" fillId="8" borderId="5" xfId="0" applyFont="1" applyFill="1" applyBorder="1"/>
    <xf numFmtId="0" fontId="23" fillId="8" borderId="6" xfId="0" applyFont="1" applyFill="1" applyBorder="1" applyAlignment="1">
      <alignment horizontal="center"/>
    </xf>
    <xf numFmtId="2" fontId="23" fillId="8" borderId="6" xfId="0" applyNumberFormat="1" applyFont="1" applyFill="1" applyBorder="1" applyAlignment="1">
      <alignment horizontal="right" indent="1"/>
    </xf>
    <xf numFmtId="0" fontId="23" fillId="8" borderId="4" xfId="0" applyFont="1" applyFill="1" applyBorder="1"/>
    <xf numFmtId="0" fontId="23" fillId="8" borderId="5" xfId="0" applyFont="1" applyFill="1" applyBorder="1" applyAlignment="1">
      <alignment horizontal="left"/>
    </xf>
    <xf numFmtId="0" fontId="23" fillId="8" borderId="4" xfId="0" applyFont="1" applyFill="1" applyBorder="1" applyAlignment="1">
      <alignment horizontal="left"/>
    </xf>
    <xf numFmtId="2" fontId="21" fillId="0" borderId="5" xfId="0" applyNumberFormat="1" applyFont="1" applyBorder="1" applyAlignment="1">
      <alignment horizontal="right" wrapText="1" indent="1"/>
    </xf>
    <xf numFmtId="2" fontId="0" fillId="0" borderId="5" xfId="0" applyNumberFormat="1" applyBorder="1" applyAlignment="1">
      <alignment horizontal="right" indent="1"/>
    </xf>
    <xf numFmtId="166" fontId="17" fillId="0" borderId="5" xfId="0" applyNumberFormat="1" applyFont="1" applyBorder="1" applyAlignment="1">
      <alignment horizontal="right" indent="1"/>
    </xf>
    <xf numFmtId="0" fontId="23" fillId="8" borderId="5" xfId="0" applyFont="1" applyFill="1" applyBorder="1" applyAlignment="1">
      <alignment vertical="center" wrapText="1"/>
    </xf>
    <xf numFmtId="3" fontId="23" fillId="8" borderId="6" xfId="0" applyNumberFormat="1" applyFont="1" applyFill="1" applyBorder="1" applyAlignment="1">
      <alignment horizontal="right" indent="1"/>
    </xf>
    <xf numFmtId="1" fontId="23" fillId="8" borderId="6" xfId="0" applyNumberFormat="1" applyFont="1" applyFill="1" applyBorder="1" applyAlignment="1">
      <alignment horizontal="right" indent="1"/>
    </xf>
    <xf numFmtId="0" fontId="23" fillId="8" borderId="5" xfId="0" applyFont="1" applyFill="1" applyBorder="1" applyAlignment="1">
      <alignment horizontal="left" vertical="center"/>
    </xf>
    <xf numFmtId="0" fontId="24" fillId="8" borderId="6" xfId="0" applyFont="1" applyFill="1" applyBorder="1" applyAlignment="1">
      <alignment horizontal="center" vertical="center"/>
    </xf>
    <xf numFmtId="2" fontId="23" fillId="8" borderId="10" xfId="0" applyNumberFormat="1" applyFont="1" applyFill="1" applyBorder="1" applyAlignment="1">
      <alignment horizontal="right" vertical="center" indent="1"/>
    </xf>
    <xf numFmtId="0" fontId="24" fillId="8" borderId="4" xfId="0" applyFont="1" applyFill="1" applyBorder="1"/>
    <xf numFmtId="0" fontId="21" fillId="0" borderId="17" xfId="0" applyFont="1" applyBorder="1" applyAlignment="1">
      <alignment horizontal="center"/>
    </xf>
    <xf numFmtId="0" fontId="47" fillId="0" borderId="13" xfId="0" applyFont="1" applyBorder="1"/>
    <xf numFmtId="2" fontId="47" fillId="0" borderId="6" xfId="0" applyNumberFormat="1" applyFont="1" applyBorder="1" applyAlignment="1">
      <alignment horizontal="right" vertical="center" indent="1"/>
    </xf>
    <xf numFmtId="0" fontId="47" fillId="0" borderId="4" xfId="0" applyFont="1" applyBorder="1" applyAlignment="1">
      <alignment vertical="center"/>
    </xf>
    <xf numFmtId="0" fontId="29" fillId="0" borderId="1" xfId="0" applyFont="1" applyBorder="1"/>
    <xf numFmtId="0" fontId="23" fillId="12" borderId="3" xfId="0" applyFont="1" applyFill="1" applyBorder="1"/>
    <xf numFmtId="0" fontId="23" fillId="14" borderId="3" xfId="0" applyFont="1" applyFill="1" applyBorder="1"/>
    <xf numFmtId="0" fontId="24" fillId="16" borderId="3" xfId="0" applyFont="1" applyFill="1" applyBorder="1"/>
    <xf numFmtId="0" fontId="29" fillId="0" borderId="16" xfId="0" applyFont="1" applyBorder="1"/>
    <xf numFmtId="0" fontId="17" fillId="5" borderId="3" xfId="0" applyFont="1" applyFill="1" applyBorder="1"/>
    <xf numFmtId="0" fontId="23" fillId="17" borderId="3" xfId="0" applyFont="1" applyFill="1" applyBorder="1"/>
    <xf numFmtId="0" fontId="23" fillId="18" borderId="3" xfId="0" applyFont="1" applyFill="1" applyBorder="1"/>
    <xf numFmtId="0" fontId="24" fillId="0" borderId="3" xfId="0" applyFont="1" applyBorder="1"/>
    <xf numFmtId="0" fontId="15" fillId="0" borderId="3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2" fontId="15" fillId="0" borderId="3" xfId="0" applyNumberFormat="1" applyFont="1" applyBorder="1" applyAlignment="1">
      <alignment horizontal="center" wrapText="1"/>
    </xf>
    <xf numFmtId="2" fontId="15" fillId="0" borderId="5" xfId="0" applyNumberFormat="1" applyFont="1" applyBorder="1" applyAlignment="1">
      <alignment horizontal="center" vertical="center" wrapText="1"/>
    </xf>
    <xf numFmtId="0" fontId="15" fillId="0" borderId="6" xfId="0" applyFont="1" applyBorder="1" applyAlignment="1">
      <alignment vertical="center"/>
    </xf>
    <xf numFmtId="0" fontId="24" fillId="0" borderId="1" xfId="0" applyFont="1" applyBorder="1"/>
    <xf numFmtId="0" fontId="28" fillId="0" borderId="14" xfId="0" applyFont="1" applyBorder="1" applyAlignment="1">
      <alignment horizontal="right"/>
    </xf>
    <xf numFmtId="0" fontId="30" fillId="0" borderId="6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right"/>
    </xf>
    <xf numFmtId="0" fontId="20" fillId="0" borderId="4" xfId="0" applyFont="1" applyBorder="1" applyAlignment="1">
      <alignment horizontal="center"/>
    </xf>
    <xf numFmtId="0" fontId="19" fillId="0" borderId="6" xfId="0" applyFont="1" applyBorder="1" applyAlignment="1">
      <alignment horizontal="right"/>
    </xf>
    <xf numFmtId="0" fontId="23" fillId="0" borderId="6" xfId="0" applyFont="1" applyBorder="1" applyAlignment="1">
      <alignment horizontal="right" vertical="center"/>
    </xf>
    <xf numFmtId="0" fontId="23" fillId="0" borderId="6" xfId="0" applyFont="1" applyBorder="1" applyAlignment="1">
      <alignment horizontal="right"/>
    </xf>
    <xf numFmtId="0" fontId="23" fillId="0" borderId="10" xfId="0" applyFont="1" applyBorder="1" applyAlignment="1">
      <alignment horizontal="right" vertical="center"/>
    </xf>
    <xf numFmtId="0" fontId="20" fillId="0" borderId="6" xfId="0" applyFont="1" applyBorder="1" applyAlignment="1">
      <alignment horizontal="right"/>
    </xf>
    <xf numFmtId="0" fontId="15" fillId="0" borderId="6" xfId="0" applyFont="1" applyBorder="1" applyAlignment="1">
      <alignment horizontal="right"/>
    </xf>
    <xf numFmtId="0" fontId="19" fillId="0" borderId="0" xfId="0" applyFont="1" applyAlignment="1">
      <alignment horizontal="right" vertical="center" wrapText="1"/>
    </xf>
    <xf numFmtId="0" fontId="31" fillId="0" borderId="6" xfId="0" applyFont="1" applyBorder="1" applyAlignment="1">
      <alignment horizontal="right"/>
    </xf>
    <xf numFmtId="0" fontId="15" fillId="0" borderId="3" xfId="0" applyFont="1" applyBorder="1"/>
    <xf numFmtId="0" fontId="23" fillId="0" borderId="4" xfId="0" applyFont="1" applyBorder="1" applyAlignment="1">
      <alignment horizontal="right"/>
    </xf>
    <xf numFmtId="0" fontId="31" fillId="0" borderId="4" xfId="0" applyFont="1" applyBorder="1" applyAlignment="1">
      <alignment horizontal="right"/>
    </xf>
    <xf numFmtId="0" fontId="23" fillId="0" borderId="4" xfId="0" applyFont="1" applyBorder="1" applyAlignment="1">
      <alignment horizontal="right" vertical="center"/>
    </xf>
    <xf numFmtId="0" fontId="15" fillId="0" borderId="1" xfId="0" applyFont="1" applyBorder="1"/>
    <xf numFmtId="0" fontId="15" fillId="0" borderId="2" xfId="0" applyFont="1" applyBorder="1"/>
    <xf numFmtId="0" fontId="20" fillId="0" borderId="3" xfId="0" applyFont="1" applyBorder="1" applyAlignment="1">
      <alignment horizontal="right" indent="1"/>
    </xf>
    <xf numFmtId="0" fontId="0" fillId="0" borderId="1" xfId="0" applyBorder="1"/>
    <xf numFmtId="0" fontId="0" fillId="0" borderId="2" xfId="0" applyBorder="1"/>
    <xf numFmtId="0" fontId="15" fillId="26" borderId="5" xfId="0" applyFont="1" applyFill="1" applyBorder="1" applyAlignment="1">
      <alignment horizontal="left" vertical="center"/>
    </xf>
    <xf numFmtId="0" fontId="23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/>
    <xf numFmtId="0" fontId="28" fillId="0" borderId="0" xfId="0" applyFont="1" applyAlignment="1">
      <alignment horizontal="center" vertical="center" wrapText="1"/>
    </xf>
    <xf numFmtId="0" fontId="33" fillId="0" borderId="0" xfId="0" applyFont="1" applyAlignment="1">
      <alignment horizontal="center" vertical="center" wrapText="1"/>
    </xf>
    <xf numFmtId="0" fontId="23" fillId="0" borderId="0" xfId="0" quotePrefix="1" applyFont="1" applyAlignment="1">
      <alignment vertical="center" wrapText="1"/>
    </xf>
    <xf numFmtId="0" fontId="27" fillId="0" borderId="0" xfId="0" applyFont="1" applyAlignment="1">
      <alignment vertical="center" wrapText="1"/>
    </xf>
    <xf numFmtId="0" fontId="27" fillId="0" borderId="0" xfId="0" applyFont="1"/>
    <xf numFmtId="0" fontId="27" fillId="0" borderId="0" xfId="0" applyFont="1" applyAlignment="1">
      <alignment wrapText="1"/>
    </xf>
    <xf numFmtId="0" fontId="0" fillId="0" borderId="0" xfId="0" applyAlignment="1">
      <alignment wrapText="1"/>
    </xf>
    <xf numFmtId="0" fontId="15" fillId="0" borderId="7" xfId="0" applyFont="1" applyBorder="1" applyAlignment="1">
      <alignment vertical="center"/>
    </xf>
    <xf numFmtId="0" fontId="0" fillId="0" borderId="17" xfId="0" applyBorder="1" applyAlignment="1">
      <alignment vertical="center"/>
    </xf>
    <xf numFmtId="0" fontId="15" fillId="0" borderId="8" xfId="0" applyFont="1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0" fillId="0" borderId="7" xfId="0" applyBorder="1" applyAlignment="1">
      <alignment vertical="top" wrapText="1"/>
    </xf>
    <xf numFmtId="0" fontId="0" fillId="0" borderId="8" xfId="0" applyBorder="1" applyAlignment="1">
      <alignment vertical="top" wrapText="1"/>
    </xf>
    <xf numFmtId="0" fontId="0" fillId="0" borderId="9" xfId="0" applyBorder="1" applyAlignment="1">
      <alignment vertical="top"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0" fontId="0" fillId="0" borderId="17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18" xfId="0" applyBorder="1" applyAlignment="1">
      <alignment wrapText="1"/>
    </xf>
    <xf numFmtId="0" fontId="29" fillId="5" borderId="5" xfId="0" applyFont="1" applyFill="1" applyBorder="1" applyAlignment="1">
      <alignment horizontal="center" vertical="center" wrapText="1"/>
    </xf>
    <xf numFmtId="0" fontId="29" fillId="5" borderId="6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9" fillId="5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38" fillId="0" borderId="10" xfId="0" applyFont="1" applyBorder="1" applyAlignment="1">
      <alignment horizontal="center" vertical="center" wrapText="1"/>
    </xf>
    <xf numFmtId="0" fontId="43" fillId="0" borderId="10" xfId="0" applyFont="1" applyBorder="1" applyAlignment="1">
      <alignment wrapText="1"/>
    </xf>
    <xf numFmtId="0" fontId="38" fillId="0" borderId="8" xfId="0" applyFont="1" applyBorder="1" applyAlignment="1">
      <alignment horizontal="left" vertical="center" wrapText="1"/>
    </xf>
    <xf numFmtId="0" fontId="43" fillId="0" borderId="8" xfId="0" applyFont="1" applyBorder="1" applyAlignment="1">
      <alignment wrapText="1"/>
    </xf>
    <xf numFmtId="0" fontId="0" fillId="0" borderId="10" xfId="0" applyBorder="1" applyAlignment="1">
      <alignment horizontal="center" wrapText="1"/>
    </xf>
    <xf numFmtId="0" fontId="0" fillId="0" borderId="18" xfId="0" applyBorder="1" applyAlignment="1">
      <alignment horizontal="center" wrapText="1"/>
    </xf>
    <xf numFmtId="0" fontId="1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0" fillId="0" borderId="5" xfId="0" applyBorder="1" applyAlignment="1">
      <alignment horizontal="right"/>
    </xf>
    <xf numFmtId="0" fontId="0" fillId="0" borderId="6" xfId="0" applyBorder="1" applyAlignment="1">
      <alignment horizontal="right"/>
    </xf>
    <xf numFmtId="0" fontId="30" fillId="0" borderId="10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30" fillId="0" borderId="5" xfId="0" applyFont="1" applyBorder="1" applyAlignment="1">
      <alignment horizontal="right"/>
    </xf>
  </cellXfs>
  <cellStyles count="6">
    <cellStyle name="Hipervínculo" xfId="5" builtinId="8"/>
    <cellStyle name="Millares" xfId="1" builtinId="3"/>
    <cellStyle name="Normal" xfId="0" builtinId="0"/>
    <cellStyle name="Normal 10" xfId="3" xr:uid="{67D93D48-BFFD-4FDD-93DC-E3C0FCE46B6E}"/>
    <cellStyle name="Porcentaje" xfId="2" builtinId="5"/>
    <cellStyle name="Porcentaje 2" xfId="4" xr:uid="{75324D31-39D7-4AFF-A5A0-522F1DE7BF85}"/>
  </cellStyles>
  <dxfs count="0"/>
  <tableStyles count="0" defaultTableStyle="TableStyleMedium9" defaultPivotStyle="PivotStyleLight16"/>
  <colors>
    <mruColors>
      <color rgb="FFCCF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emf"/><Relationship Id="rId2" Type="http://schemas.openxmlformats.org/officeDocument/2006/relationships/image" Target="../media/image7.emf"/><Relationship Id="rId1" Type="http://schemas.openxmlformats.org/officeDocument/2006/relationships/image" Target="../media/image6.emf"/><Relationship Id="rId6" Type="http://schemas.openxmlformats.org/officeDocument/2006/relationships/image" Target="../media/image11.emf"/><Relationship Id="rId5" Type="http://schemas.openxmlformats.org/officeDocument/2006/relationships/image" Target="../media/image10.emf"/><Relationship Id="rId4" Type="http://schemas.openxmlformats.org/officeDocument/2006/relationships/image" Target="../media/image9.emf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4.emf"/><Relationship Id="rId2" Type="http://schemas.openxmlformats.org/officeDocument/2006/relationships/image" Target="../media/image13.png"/><Relationship Id="rId1" Type="http://schemas.openxmlformats.org/officeDocument/2006/relationships/image" Target="../media/image12.png"/><Relationship Id="rId5" Type="http://schemas.openxmlformats.org/officeDocument/2006/relationships/image" Target="../media/image16.emf"/><Relationship Id="rId4" Type="http://schemas.openxmlformats.org/officeDocument/2006/relationships/image" Target="../media/image1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26</xdr:col>
      <xdr:colOff>273620</xdr:colOff>
      <xdr:row>112</xdr:row>
      <xdr:rowOff>0</xdr:rowOff>
    </xdr:from>
    <xdr:to>
      <xdr:col>33</xdr:col>
      <xdr:colOff>396875</xdr:colOff>
      <xdr:row>134</xdr:row>
      <xdr:rowOff>95250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515120" y="48253650"/>
          <a:ext cx="5457255" cy="3657600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723900</xdr:colOff>
      <xdr:row>111</xdr:row>
      <xdr:rowOff>0</xdr:rowOff>
    </xdr:from>
    <xdr:to>
      <xdr:col>20</xdr:col>
      <xdr:colOff>701675</xdr:colOff>
      <xdr:row>152</xdr:row>
      <xdr:rowOff>174534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59400" y="36360100"/>
          <a:ext cx="5311775" cy="67848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18</xdr:col>
      <xdr:colOff>482600</xdr:colOff>
      <xdr:row>109</xdr:row>
      <xdr:rowOff>59106</xdr:rowOff>
    </xdr:from>
    <xdr:to>
      <xdr:col>24</xdr:col>
      <xdr:colOff>533400</xdr:colOff>
      <xdr:row>138</xdr:row>
      <xdr:rowOff>108567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1628100" y="22890531"/>
          <a:ext cx="4622800" cy="4745286"/>
        </a:xfrm>
        <a:prstGeom prst="rect">
          <a:avLst/>
        </a:prstGeom>
      </xdr:spPr>
    </xdr:pic>
    <xdr:clientData/>
  </xdr:twoCellAnchor>
  <xdr:twoCellAnchor editAs="oneCell">
    <xdr:from>
      <xdr:col>21</xdr:col>
      <xdr:colOff>558800</xdr:colOff>
      <xdr:row>111</xdr:row>
      <xdr:rowOff>0</xdr:rowOff>
    </xdr:from>
    <xdr:to>
      <xdr:col>25</xdr:col>
      <xdr:colOff>434610</xdr:colOff>
      <xdr:row>134</xdr:row>
      <xdr:rowOff>75696</xdr:rowOff>
    </xdr:to>
    <xdr:pic>
      <xdr:nvPicPr>
        <xdr:cNvPr id="5" name="4 Imagen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990300" y="38376225"/>
          <a:ext cx="2923810" cy="3799971"/>
        </a:xfrm>
        <a:prstGeom prst="rect">
          <a:avLst/>
        </a:prstGeom>
      </xdr:spPr>
    </xdr:pic>
    <xdr:clientData/>
  </xdr:twoCellAnchor>
  <xdr:oneCellAnchor>
    <xdr:from>
      <xdr:col>13</xdr:col>
      <xdr:colOff>0</xdr:colOff>
      <xdr:row>41</xdr:row>
      <xdr:rowOff>0</xdr:rowOff>
    </xdr:from>
    <xdr:ext cx="304800" cy="304800"/>
    <xdr:sp macro="" textlink="">
      <xdr:nvSpPr>
        <xdr:cNvPr id="12" name="AutoShape 5" descr="{\displaystyle Q=0.2787\ C\ D_{i}^{2.63}\ S^{0.54}}">
          <a:extLst>
            <a:ext uri="{FF2B5EF4-FFF2-40B4-BE49-F238E27FC236}">
              <a16:creationId xmlns:a16="http://schemas.microsoft.com/office/drawing/2014/main" id="{869DFB4B-B953-4214-9C80-D4F0720685ED}"/>
            </a:ext>
          </a:extLst>
        </xdr:cNvPr>
        <xdr:cNvSpPr>
          <a:spLocks noChangeAspect="1" noChangeArrowheads="1"/>
        </xdr:cNvSpPr>
      </xdr:nvSpPr>
      <xdr:spPr bwMode="auto">
        <a:xfrm>
          <a:off x="11268075" y="13439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355600</xdr:colOff>
      <xdr:row>15</xdr:row>
      <xdr:rowOff>167132</xdr:rowOff>
    </xdr:from>
    <xdr:to>
      <xdr:col>2</xdr:col>
      <xdr:colOff>596900</xdr:colOff>
      <xdr:row>17</xdr:row>
      <xdr:rowOff>66040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4A26D62-391D-4C3F-912D-688279748E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42100" y="3519932"/>
          <a:ext cx="241300" cy="2799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635000</xdr:colOff>
      <xdr:row>26</xdr:row>
      <xdr:rowOff>57150</xdr:rowOff>
    </xdr:from>
    <xdr:to>
      <xdr:col>2</xdr:col>
      <xdr:colOff>200026</xdr:colOff>
      <xdr:row>31</xdr:row>
      <xdr:rowOff>0</xdr:rowOff>
    </xdr:to>
    <xdr:sp macro="" textlink="">
      <xdr:nvSpPr>
        <xdr:cNvPr id="2" name="1 Recortar y redondear rectángulo de esquina sencilla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635000" y="2482850"/>
          <a:ext cx="1381126" cy="895350"/>
        </a:xfrm>
        <a:prstGeom prst="snipRound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2</xdr:col>
      <xdr:colOff>552451</xdr:colOff>
      <xdr:row>27</xdr:row>
      <xdr:rowOff>57150</xdr:rowOff>
    </xdr:from>
    <xdr:to>
      <xdr:col>3</xdr:col>
      <xdr:colOff>847725</xdr:colOff>
      <xdr:row>30</xdr:row>
      <xdr:rowOff>0</xdr:rowOff>
    </xdr:to>
    <xdr:sp macro="" textlink="">
      <xdr:nvSpPr>
        <xdr:cNvPr id="3" name="2 Decisión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2952751" y="2667000"/>
          <a:ext cx="1095374" cy="514350"/>
        </a:xfrm>
        <a:prstGeom prst="flowChartDecision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4</xdr:col>
      <xdr:colOff>733425</xdr:colOff>
      <xdr:row>32</xdr:row>
      <xdr:rowOff>0</xdr:rowOff>
    </xdr:from>
    <xdr:to>
      <xdr:col>6</xdr:col>
      <xdr:colOff>28575</xdr:colOff>
      <xdr:row>33</xdr:row>
      <xdr:rowOff>133349</xdr:rowOff>
    </xdr:to>
    <xdr:sp macro="" textlink="">
      <xdr:nvSpPr>
        <xdr:cNvPr id="13" name="12 Proceso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/>
      </xdr:nvSpPr>
      <xdr:spPr>
        <a:xfrm>
          <a:off x="3133725" y="3724274"/>
          <a:ext cx="1600200" cy="561975"/>
        </a:xfrm>
        <a:prstGeom prst="flowChartProcess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4</xdr:col>
      <xdr:colOff>733425</xdr:colOff>
      <xdr:row>34</xdr:row>
      <xdr:rowOff>161924</xdr:rowOff>
    </xdr:from>
    <xdr:to>
      <xdr:col>6</xdr:col>
      <xdr:colOff>28575</xdr:colOff>
      <xdr:row>36</xdr:row>
      <xdr:rowOff>133349</xdr:rowOff>
    </xdr:to>
    <xdr:sp macro="" textlink="">
      <xdr:nvSpPr>
        <xdr:cNvPr id="14" name="13 Proceso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/>
      </xdr:nvSpPr>
      <xdr:spPr>
        <a:xfrm>
          <a:off x="3133725" y="3724274"/>
          <a:ext cx="1600200" cy="561975"/>
        </a:xfrm>
        <a:prstGeom prst="flowChartProcess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6</xdr:col>
      <xdr:colOff>419100</xdr:colOff>
      <xdr:row>34</xdr:row>
      <xdr:rowOff>177800</xdr:rowOff>
    </xdr:from>
    <xdr:to>
      <xdr:col>8</xdr:col>
      <xdr:colOff>38100</xdr:colOff>
      <xdr:row>36</xdr:row>
      <xdr:rowOff>114300</xdr:rowOff>
    </xdr:to>
    <xdr:sp macro="" textlink="">
      <xdr:nvSpPr>
        <xdr:cNvPr id="15" name="14 Proceso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/>
      </xdr:nvSpPr>
      <xdr:spPr>
        <a:xfrm>
          <a:off x="12395200" y="9664700"/>
          <a:ext cx="1498600" cy="508000"/>
        </a:xfrm>
        <a:prstGeom prst="flowChartProcess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6</xdr:col>
      <xdr:colOff>709612</xdr:colOff>
      <xdr:row>40</xdr:row>
      <xdr:rowOff>71438</xdr:rowOff>
    </xdr:from>
    <xdr:to>
      <xdr:col>8</xdr:col>
      <xdr:colOff>4762</xdr:colOff>
      <xdr:row>41</xdr:row>
      <xdr:rowOff>42863</xdr:rowOff>
    </xdr:to>
    <xdr:sp macro="" textlink="">
      <xdr:nvSpPr>
        <xdr:cNvPr id="16" name="15 Proceso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/>
      </xdr:nvSpPr>
      <xdr:spPr>
        <a:xfrm>
          <a:off x="5614987" y="6129338"/>
          <a:ext cx="1419225" cy="457200"/>
        </a:xfrm>
        <a:prstGeom prst="flowChartProcess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4</xdr:col>
      <xdr:colOff>285750</xdr:colOff>
      <xdr:row>40</xdr:row>
      <xdr:rowOff>19050</xdr:rowOff>
    </xdr:from>
    <xdr:to>
      <xdr:col>6</xdr:col>
      <xdr:colOff>9525</xdr:colOff>
      <xdr:row>41</xdr:row>
      <xdr:rowOff>19050</xdr:rowOff>
    </xdr:to>
    <xdr:sp macro="" textlink="">
      <xdr:nvSpPr>
        <xdr:cNvPr id="18" name="17 Retraso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/>
      </xdr:nvSpPr>
      <xdr:spPr>
        <a:xfrm>
          <a:off x="10902950" y="11626850"/>
          <a:ext cx="1082675" cy="482600"/>
        </a:xfrm>
        <a:prstGeom prst="flowChartDelay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2</xdr:col>
      <xdr:colOff>200026</xdr:colOff>
      <xdr:row>28</xdr:row>
      <xdr:rowOff>123825</xdr:rowOff>
    </xdr:from>
    <xdr:to>
      <xdr:col>2</xdr:col>
      <xdr:colOff>400051</xdr:colOff>
      <xdr:row>28</xdr:row>
      <xdr:rowOff>123825</xdr:rowOff>
    </xdr:to>
    <xdr:cxnSp macro="">
      <xdr:nvCxnSpPr>
        <xdr:cNvPr id="20" name="19 Conector recto de flecha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CxnSpPr>
          <a:stCxn id="2" idx="0"/>
          <a:endCxn id="3" idx="1"/>
        </xdr:cNvCxnSpPr>
      </xdr:nvCxnSpPr>
      <xdr:spPr>
        <a:xfrm>
          <a:off x="2016126" y="2930525"/>
          <a:ext cx="200025" cy="0"/>
        </a:xfrm>
        <a:prstGeom prst="straightConnector1">
          <a:avLst/>
        </a:prstGeom>
        <a:ln w="28575"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419100</xdr:colOff>
      <xdr:row>30</xdr:row>
      <xdr:rowOff>0</xdr:rowOff>
    </xdr:from>
    <xdr:to>
      <xdr:col>3</xdr:col>
      <xdr:colOff>438150</xdr:colOff>
      <xdr:row>40</xdr:row>
      <xdr:rowOff>266700</xdr:rowOff>
    </xdr:to>
    <xdr:cxnSp macro="">
      <xdr:nvCxnSpPr>
        <xdr:cNvPr id="24" name="23 Conector recto de flecha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CxnSpPr/>
      </xdr:nvCxnSpPr>
      <xdr:spPr>
        <a:xfrm>
          <a:off x="2105025" y="2990850"/>
          <a:ext cx="19050" cy="3333750"/>
        </a:xfrm>
        <a:prstGeom prst="straightConnector1">
          <a:avLst/>
        </a:prstGeom>
        <a:ln w="28575"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254000</xdr:colOff>
      <xdr:row>42</xdr:row>
      <xdr:rowOff>155575</xdr:rowOff>
    </xdr:from>
    <xdr:to>
      <xdr:col>8</xdr:col>
      <xdr:colOff>241299</xdr:colOff>
      <xdr:row>48</xdr:row>
      <xdr:rowOff>31750</xdr:rowOff>
    </xdr:to>
    <xdr:sp macro="" textlink="">
      <xdr:nvSpPr>
        <xdr:cNvPr id="33" name="32 Decisión">
          <a:extLst>
            <a:ext uri="{FF2B5EF4-FFF2-40B4-BE49-F238E27FC236}">
              <a16:creationId xmlns:a16="http://schemas.microsoft.com/office/drawing/2014/main" id="{00000000-0008-0000-0200-000021000000}"/>
            </a:ext>
          </a:extLst>
        </xdr:cNvPr>
        <xdr:cNvSpPr/>
      </xdr:nvSpPr>
      <xdr:spPr>
        <a:xfrm>
          <a:off x="12230100" y="12436475"/>
          <a:ext cx="1866899" cy="1209675"/>
        </a:xfrm>
        <a:prstGeom prst="flowChartDecision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7</xdr:col>
      <xdr:colOff>571500</xdr:colOff>
      <xdr:row>48</xdr:row>
      <xdr:rowOff>31750</xdr:rowOff>
    </xdr:from>
    <xdr:to>
      <xdr:col>7</xdr:col>
      <xdr:colOff>577850</xdr:colOff>
      <xdr:row>49</xdr:row>
      <xdr:rowOff>68263</xdr:rowOff>
    </xdr:to>
    <xdr:cxnSp macro="">
      <xdr:nvCxnSpPr>
        <xdr:cNvPr id="36" name="35 Conector recto de flecha">
          <a:extLst>
            <a:ext uri="{FF2B5EF4-FFF2-40B4-BE49-F238E27FC236}">
              <a16:creationId xmlns:a16="http://schemas.microsoft.com/office/drawing/2014/main" id="{00000000-0008-0000-0200-000024000000}"/>
            </a:ext>
          </a:extLst>
        </xdr:cNvPr>
        <xdr:cNvCxnSpPr>
          <a:stCxn id="33" idx="2"/>
          <a:endCxn id="45" idx="0"/>
        </xdr:cNvCxnSpPr>
      </xdr:nvCxnSpPr>
      <xdr:spPr>
        <a:xfrm>
          <a:off x="13030200" y="13455650"/>
          <a:ext cx="6350" cy="227013"/>
        </a:xfrm>
        <a:prstGeom prst="straightConnector1">
          <a:avLst/>
        </a:prstGeom>
        <a:ln w="28575"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615950</xdr:colOff>
      <xdr:row>41</xdr:row>
      <xdr:rowOff>17463</xdr:rowOff>
    </xdr:from>
    <xdr:to>
      <xdr:col>7</xdr:col>
      <xdr:colOff>615950</xdr:colOff>
      <xdr:row>42</xdr:row>
      <xdr:rowOff>130175</xdr:rowOff>
    </xdr:to>
    <xdr:cxnSp macro="">
      <xdr:nvCxnSpPr>
        <xdr:cNvPr id="41" name="40 Conector recto de flecha">
          <a:extLst>
            <a:ext uri="{FF2B5EF4-FFF2-40B4-BE49-F238E27FC236}">
              <a16:creationId xmlns:a16="http://schemas.microsoft.com/office/drawing/2014/main" id="{00000000-0008-0000-0200-000029000000}"/>
            </a:ext>
          </a:extLst>
        </xdr:cNvPr>
        <xdr:cNvCxnSpPr/>
      </xdr:nvCxnSpPr>
      <xdr:spPr>
        <a:xfrm>
          <a:off x="13074650" y="12450763"/>
          <a:ext cx="0" cy="303212"/>
        </a:xfrm>
        <a:prstGeom prst="straightConnector1">
          <a:avLst/>
        </a:prstGeom>
        <a:ln w="28575"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152400</xdr:colOff>
      <xdr:row>49</xdr:row>
      <xdr:rowOff>68263</xdr:rowOff>
    </xdr:from>
    <xdr:to>
      <xdr:col>7</xdr:col>
      <xdr:colOff>1003300</xdr:colOff>
      <xdr:row>51</xdr:row>
      <xdr:rowOff>114300</xdr:rowOff>
    </xdr:to>
    <xdr:sp macro="" textlink="">
      <xdr:nvSpPr>
        <xdr:cNvPr id="45" name="44 Terminador">
          <a:extLst>
            <a:ext uri="{FF2B5EF4-FFF2-40B4-BE49-F238E27FC236}">
              <a16:creationId xmlns:a16="http://schemas.microsoft.com/office/drawing/2014/main" id="{00000000-0008-0000-0200-00002D000000}"/>
            </a:ext>
          </a:extLst>
        </xdr:cNvPr>
        <xdr:cNvSpPr/>
      </xdr:nvSpPr>
      <xdr:spPr>
        <a:xfrm>
          <a:off x="12611100" y="13682663"/>
          <a:ext cx="850900" cy="427037"/>
        </a:xfrm>
        <a:prstGeom prst="flowChartTerminator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3</xdr:col>
      <xdr:colOff>438150</xdr:colOff>
      <xdr:row>32</xdr:row>
      <xdr:rowOff>257175</xdr:rowOff>
    </xdr:from>
    <xdr:to>
      <xdr:col>4</xdr:col>
      <xdr:colOff>728662</xdr:colOff>
      <xdr:row>32</xdr:row>
      <xdr:rowOff>257175</xdr:rowOff>
    </xdr:to>
    <xdr:cxnSp macro="">
      <xdr:nvCxnSpPr>
        <xdr:cNvPr id="66" name="65 Conector recto de flecha">
          <a:extLst>
            <a:ext uri="{FF2B5EF4-FFF2-40B4-BE49-F238E27FC236}">
              <a16:creationId xmlns:a16="http://schemas.microsoft.com/office/drawing/2014/main" id="{00000000-0008-0000-0200-000042000000}"/>
            </a:ext>
          </a:extLst>
        </xdr:cNvPr>
        <xdr:cNvCxnSpPr/>
      </xdr:nvCxnSpPr>
      <xdr:spPr>
        <a:xfrm>
          <a:off x="2124075" y="3819525"/>
          <a:ext cx="1204912" cy="0"/>
        </a:xfrm>
        <a:prstGeom prst="straightConnector1">
          <a:avLst/>
        </a:prstGeom>
        <a:ln w="28575"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433388</xdr:colOff>
      <xdr:row>35</xdr:row>
      <xdr:rowOff>290512</xdr:rowOff>
    </xdr:from>
    <xdr:to>
      <xdr:col>4</xdr:col>
      <xdr:colOff>285750</xdr:colOff>
      <xdr:row>35</xdr:row>
      <xdr:rowOff>290513</xdr:rowOff>
    </xdr:to>
    <xdr:cxnSp macro="">
      <xdr:nvCxnSpPr>
        <xdr:cNvPr id="70" name="69 Conector recto de flecha">
          <a:extLst>
            <a:ext uri="{FF2B5EF4-FFF2-40B4-BE49-F238E27FC236}">
              <a16:creationId xmlns:a16="http://schemas.microsoft.com/office/drawing/2014/main" id="{00000000-0008-0000-0200-000046000000}"/>
            </a:ext>
          </a:extLst>
        </xdr:cNvPr>
        <xdr:cNvCxnSpPr/>
      </xdr:nvCxnSpPr>
      <xdr:spPr>
        <a:xfrm flipV="1">
          <a:off x="10136188" y="9967912"/>
          <a:ext cx="766762" cy="1"/>
        </a:xfrm>
        <a:prstGeom prst="straightConnector1">
          <a:avLst/>
        </a:prstGeom>
        <a:ln w="28575"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447675</xdr:colOff>
      <xdr:row>40</xdr:row>
      <xdr:rowOff>247650</xdr:rowOff>
    </xdr:from>
    <xdr:to>
      <xdr:col>4</xdr:col>
      <xdr:colOff>757237</xdr:colOff>
      <xdr:row>40</xdr:row>
      <xdr:rowOff>247651</xdr:rowOff>
    </xdr:to>
    <xdr:cxnSp macro="">
      <xdr:nvCxnSpPr>
        <xdr:cNvPr id="74" name="73 Conector recto de flecha">
          <a:extLst>
            <a:ext uri="{FF2B5EF4-FFF2-40B4-BE49-F238E27FC236}">
              <a16:creationId xmlns:a16="http://schemas.microsoft.com/office/drawing/2014/main" id="{00000000-0008-0000-0200-00004A000000}"/>
            </a:ext>
          </a:extLst>
        </xdr:cNvPr>
        <xdr:cNvCxnSpPr/>
      </xdr:nvCxnSpPr>
      <xdr:spPr>
        <a:xfrm flipV="1">
          <a:off x="2133600" y="6305550"/>
          <a:ext cx="1223962" cy="1"/>
        </a:xfrm>
        <a:prstGeom prst="straightConnector1">
          <a:avLst/>
        </a:prstGeom>
        <a:ln w="28575"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9525</xdr:colOff>
      <xdr:row>40</xdr:row>
      <xdr:rowOff>312738</xdr:rowOff>
    </xdr:from>
    <xdr:to>
      <xdr:col>7</xdr:col>
      <xdr:colOff>3174</xdr:colOff>
      <xdr:row>40</xdr:row>
      <xdr:rowOff>312739</xdr:rowOff>
    </xdr:to>
    <xdr:cxnSp macro="">
      <xdr:nvCxnSpPr>
        <xdr:cNvPr id="75" name="74 Conector recto de flecha">
          <a:extLst>
            <a:ext uri="{FF2B5EF4-FFF2-40B4-BE49-F238E27FC236}">
              <a16:creationId xmlns:a16="http://schemas.microsoft.com/office/drawing/2014/main" id="{00000000-0008-0000-0200-00004B000000}"/>
            </a:ext>
          </a:extLst>
        </xdr:cNvPr>
        <xdr:cNvCxnSpPr/>
      </xdr:nvCxnSpPr>
      <xdr:spPr>
        <a:xfrm>
          <a:off x="11985625" y="12111038"/>
          <a:ext cx="476249" cy="1"/>
        </a:xfrm>
        <a:prstGeom prst="straightConnector1">
          <a:avLst/>
        </a:prstGeom>
        <a:ln w="28575"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38099</xdr:colOff>
      <xdr:row>27</xdr:row>
      <xdr:rowOff>76200</xdr:rowOff>
    </xdr:from>
    <xdr:to>
      <xdr:col>8</xdr:col>
      <xdr:colOff>838200</xdr:colOff>
      <xdr:row>30</xdr:row>
      <xdr:rowOff>19050</xdr:rowOff>
    </xdr:to>
    <xdr:sp macro="" textlink="">
      <xdr:nvSpPr>
        <xdr:cNvPr id="87" name="86 Decisión">
          <a:extLst>
            <a:ext uri="{FF2B5EF4-FFF2-40B4-BE49-F238E27FC236}">
              <a16:creationId xmlns:a16="http://schemas.microsoft.com/office/drawing/2014/main" id="{00000000-0008-0000-0200-000057000000}"/>
            </a:ext>
          </a:extLst>
        </xdr:cNvPr>
        <xdr:cNvSpPr/>
      </xdr:nvSpPr>
      <xdr:spPr>
        <a:xfrm>
          <a:off x="6105524" y="2495550"/>
          <a:ext cx="800101" cy="514350"/>
        </a:xfrm>
        <a:prstGeom prst="flowChartDecision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9</xdr:col>
      <xdr:colOff>314325</xdr:colOff>
      <xdr:row>32</xdr:row>
      <xdr:rowOff>0</xdr:rowOff>
    </xdr:from>
    <xdr:to>
      <xdr:col>10</xdr:col>
      <xdr:colOff>1054100</xdr:colOff>
      <xdr:row>33</xdr:row>
      <xdr:rowOff>133349</xdr:rowOff>
    </xdr:to>
    <xdr:sp macro="" textlink="">
      <xdr:nvSpPr>
        <xdr:cNvPr id="88" name="87 Proceso">
          <a:extLst>
            <a:ext uri="{FF2B5EF4-FFF2-40B4-BE49-F238E27FC236}">
              <a16:creationId xmlns:a16="http://schemas.microsoft.com/office/drawing/2014/main" id="{00000000-0008-0000-0200-000058000000}"/>
            </a:ext>
          </a:extLst>
        </xdr:cNvPr>
        <xdr:cNvSpPr/>
      </xdr:nvSpPr>
      <xdr:spPr>
        <a:xfrm>
          <a:off x="15059025" y="8890000"/>
          <a:ext cx="1057275" cy="539749"/>
        </a:xfrm>
        <a:prstGeom prst="flowChartProcess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9</xdr:col>
      <xdr:colOff>314325</xdr:colOff>
      <xdr:row>34</xdr:row>
      <xdr:rowOff>161924</xdr:rowOff>
    </xdr:from>
    <xdr:to>
      <xdr:col>11</xdr:col>
      <xdr:colOff>76200</xdr:colOff>
      <xdr:row>36</xdr:row>
      <xdr:rowOff>133349</xdr:rowOff>
    </xdr:to>
    <xdr:sp macro="" textlink="">
      <xdr:nvSpPr>
        <xdr:cNvPr id="89" name="88 Proceso">
          <a:extLst>
            <a:ext uri="{FF2B5EF4-FFF2-40B4-BE49-F238E27FC236}">
              <a16:creationId xmlns:a16="http://schemas.microsoft.com/office/drawing/2014/main" id="{00000000-0008-0000-0200-000059000000}"/>
            </a:ext>
          </a:extLst>
        </xdr:cNvPr>
        <xdr:cNvSpPr/>
      </xdr:nvSpPr>
      <xdr:spPr>
        <a:xfrm>
          <a:off x="15059025" y="9648824"/>
          <a:ext cx="1158875" cy="542925"/>
        </a:xfrm>
        <a:prstGeom prst="flowChartProcess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9</xdr:col>
      <xdr:colOff>314325</xdr:colOff>
      <xdr:row>40</xdr:row>
      <xdr:rowOff>19050</xdr:rowOff>
    </xdr:from>
    <xdr:to>
      <xdr:col>11</xdr:col>
      <xdr:colOff>38100</xdr:colOff>
      <xdr:row>41</xdr:row>
      <xdr:rowOff>19050</xdr:rowOff>
    </xdr:to>
    <xdr:sp macro="" textlink="">
      <xdr:nvSpPr>
        <xdr:cNvPr id="92" name="91 Retraso">
          <a:extLst>
            <a:ext uri="{FF2B5EF4-FFF2-40B4-BE49-F238E27FC236}">
              <a16:creationId xmlns:a16="http://schemas.microsoft.com/office/drawing/2014/main" id="{00000000-0008-0000-0200-00005C000000}"/>
            </a:ext>
          </a:extLst>
        </xdr:cNvPr>
        <xdr:cNvSpPr/>
      </xdr:nvSpPr>
      <xdr:spPr>
        <a:xfrm>
          <a:off x="14792325" y="11817350"/>
          <a:ext cx="1120775" cy="635000"/>
        </a:xfrm>
        <a:prstGeom prst="flowChartDelay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3</xdr:col>
      <xdr:colOff>847725</xdr:colOff>
      <xdr:row>28</xdr:row>
      <xdr:rowOff>123825</xdr:rowOff>
    </xdr:from>
    <xdr:to>
      <xdr:col>8</xdr:col>
      <xdr:colOff>38099</xdr:colOff>
      <xdr:row>28</xdr:row>
      <xdr:rowOff>142875</xdr:rowOff>
    </xdr:to>
    <xdr:cxnSp macro="">
      <xdr:nvCxnSpPr>
        <xdr:cNvPr id="93" name="92 Conector recto de flecha">
          <a:extLst>
            <a:ext uri="{FF2B5EF4-FFF2-40B4-BE49-F238E27FC236}">
              <a16:creationId xmlns:a16="http://schemas.microsoft.com/office/drawing/2014/main" id="{00000000-0008-0000-0200-00005D000000}"/>
            </a:ext>
          </a:extLst>
        </xdr:cNvPr>
        <xdr:cNvCxnSpPr>
          <a:stCxn id="3" idx="3"/>
          <a:endCxn id="87" idx="1"/>
        </xdr:cNvCxnSpPr>
      </xdr:nvCxnSpPr>
      <xdr:spPr>
        <a:xfrm>
          <a:off x="2549525" y="2930525"/>
          <a:ext cx="3521074" cy="19050"/>
        </a:xfrm>
        <a:prstGeom prst="straightConnector1">
          <a:avLst/>
        </a:prstGeom>
        <a:ln w="28575"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419100</xdr:colOff>
      <xdr:row>30</xdr:row>
      <xdr:rowOff>0</xdr:rowOff>
    </xdr:from>
    <xdr:to>
      <xdr:col>8</xdr:col>
      <xdr:colOff>438150</xdr:colOff>
      <xdr:row>40</xdr:row>
      <xdr:rowOff>266700</xdr:rowOff>
    </xdr:to>
    <xdr:cxnSp macro="">
      <xdr:nvCxnSpPr>
        <xdr:cNvPr id="95" name="94 Conector recto de flecha">
          <a:extLst>
            <a:ext uri="{FF2B5EF4-FFF2-40B4-BE49-F238E27FC236}">
              <a16:creationId xmlns:a16="http://schemas.microsoft.com/office/drawing/2014/main" id="{00000000-0008-0000-0200-00005F000000}"/>
            </a:ext>
          </a:extLst>
        </xdr:cNvPr>
        <xdr:cNvCxnSpPr/>
      </xdr:nvCxnSpPr>
      <xdr:spPr>
        <a:xfrm>
          <a:off x="2105025" y="2990850"/>
          <a:ext cx="19050" cy="3333750"/>
        </a:xfrm>
        <a:prstGeom prst="straightConnector1">
          <a:avLst/>
        </a:prstGeom>
        <a:ln w="28575"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304800</xdr:colOff>
      <xdr:row>42</xdr:row>
      <xdr:rowOff>161925</xdr:rowOff>
    </xdr:from>
    <xdr:to>
      <xdr:col>13</xdr:col>
      <xdr:colOff>317500</xdr:colOff>
      <xdr:row>48</xdr:row>
      <xdr:rowOff>38100</xdr:rowOff>
    </xdr:to>
    <xdr:sp macro="" textlink="">
      <xdr:nvSpPr>
        <xdr:cNvPr id="96" name="95 Decisión">
          <a:extLst>
            <a:ext uri="{FF2B5EF4-FFF2-40B4-BE49-F238E27FC236}">
              <a16:creationId xmlns:a16="http://schemas.microsoft.com/office/drawing/2014/main" id="{00000000-0008-0000-0200-000060000000}"/>
            </a:ext>
          </a:extLst>
        </xdr:cNvPr>
        <xdr:cNvSpPr/>
      </xdr:nvSpPr>
      <xdr:spPr>
        <a:xfrm>
          <a:off x="16751300" y="12442825"/>
          <a:ext cx="1816100" cy="1209675"/>
        </a:xfrm>
        <a:prstGeom prst="flowChartDecision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12</xdr:col>
      <xdr:colOff>552450</xdr:colOff>
      <xdr:row>48</xdr:row>
      <xdr:rowOff>38100</xdr:rowOff>
    </xdr:from>
    <xdr:to>
      <xdr:col>12</xdr:col>
      <xdr:colOff>561975</xdr:colOff>
      <xdr:row>49</xdr:row>
      <xdr:rowOff>131763</xdr:rowOff>
    </xdr:to>
    <xdr:cxnSp macro="">
      <xdr:nvCxnSpPr>
        <xdr:cNvPr id="97" name="96 Conector recto de flecha">
          <a:extLst>
            <a:ext uri="{FF2B5EF4-FFF2-40B4-BE49-F238E27FC236}">
              <a16:creationId xmlns:a16="http://schemas.microsoft.com/office/drawing/2014/main" id="{00000000-0008-0000-0200-000061000000}"/>
            </a:ext>
          </a:extLst>
        </xdr:cNvPr>
        <xdr:cNvCxnSpPr>
          <a:stCxn id="96" idx="2"/>
          <a:endCxn id="99" idx="0"/>
        </xdr:cNvCxnSpPr>
      </xdr:nvCxnSpPr>
      <xdr:spPr>
        <a:xfrm>
          <a:off x="17024350" y="14185900"/>
          <a:ext cx="9525" cy="284163"/>
        </a:xfrm>
        <a:prstGeom prst="straightConnector1">
          <a:avLst/>
        </a:prstGeom>
        <a:ln w="28575"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588962</xdr:colOff>
      <xdr:row>41</xdr:row>
      <xdr:rowOff>42863</xdr:rowOff>
    </xdr:from>
    <xdr:to>
      <xdr:col>12</xdr:col>
      <xdr:colOff>590550</xdr:colOff>
      <xdr:row>42</xdr:row>
      <xdr:rowOff>161925</xdr:rowOff>
    </xdr:to>
    <xdr:cxnSp macro="">
      <xdr:nvCxnSpPr>
        <xdr:cNvPr id="98" name="97 Conector recto de flecha">
          <a:extLst>
            <a:ext uri="{FF2B5EF4-FFF2-40B4-BE49-F238E27FC236}">
              <a16:creationId xmlns:a16="http://schemas.microsoft.com/office/drawing/2014/main" id="{00000000-0008-0000-0200-000062000000}"/>
            </a:ext>
          </a:extLst>
        </xdr:cNvPr>
        <xdr:cNvCxnSpPr/>
      </xdr:nvCxnSpPr>
      <xdr:spPr>
        <a:xfrm>
          <a:off x="17060862" y="12476163"/>
          <a:ext cx="1588" cy="309562"/>
        </a:xfrm>
        <a:prstGeom prst="straightConnector1">
          <a:avLst/>
        </a:prstGeom>
        <a:ln w="28575"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171450</xdr:colOff>
      <xdr:row>49</xdr:row>
      <xdr:rowOff>131763</xdr:rowOff>
    </xdr:from>
    <xdr:to>
      <xdr:col>12</xdr:col>
      <xdr:colOff>952500</xdr:colOff>
      <xdr:row>51</xdr:row>
      <xdr:rowOff>76200</xdr:rowOff>
    </xdr:to>
    <xdr:sp macro="" textlink="">
      <xdr:nvSpPr>
        <xdr:cNvPr id="99" name="98 Terminador">
          <a:extLst>
            <a:ext uri="{FF2B5EF4-FFF2-40B4-BE49-F238E27FC236}">
              <a16:creationId xmlns:a16="http://schemas.microsoft.com/office/drawing/2014/main" id="{00000000-0008-0000-0200-000063000000}"/>
            </a:ext>
          </a:extLst>
        </xdr:cNvPr>
        <xdr:cNvSpPr/>
      </xdr:nvSpPr>
      <xdr:spPr>
        <a:xfrm>
          <a:off x="16643350" y="14470063"/>
          <a:ext cx="781050" cy="325437"/>
        </a:xfrm>
        <a:prstGeom prst="flowChartTerminator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8</xdr:col>
      <xdr:colOff>438150</xdr:colOff>
      <xdr:row>32</xdr:row>
      <xdr:rowOff>257175</xdr:rowOff>
    </xdr:from>
    <xdr:to>
      <xdr:col>9</xdr:col>
      <xdr:colOff>728662</xdr:colOff>
      <xdr:row>32</xdr:row>
      <xdr:rowOff>257175</xdr:rowOff>
    </xdr:to>
    <xdr:cxnSp macro="">
      <xdr:nvCxnSpPr>
        <xdr:cNvPr id="100" name="99 Conector recto de flecha">
          <a:extLst>
            <a:ext uri="{FF2B5EF4-FFF2-40B4-BE49-F238E27FC236}">
              <a16:creationId xmlns:a16="http://schemas.microsoft.com/office/drawing/2014/main" id="{00000000-0008-0000-0200-000064000000}"/>
            </a:ext>
          </a:extLst>
        </xdr:cNvPr>
        <xdr:cNvCxnSpPr/>
      </xdr:nvCxnSpPr>
      <xdr:spPr>
        <a:xfrm>
          <a:off x="2124075" y="3819525"/>
          <a:ext cx="766762" cy="0"/>
        </a:xfrm>
        <a:prstGeom prst="straightConnector1">
          <a:avLst/>
        </a:prstGeom>
        <a:ln w="28575"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407988</xdr:colOff>
      <xdr:row>35</xdr:row>
      <xdr:rowOff>277812</xdr:rowOff>
    </xdr:from>
    <xdr:to>
      <xdr:col>9</xdr:col>
      <xdr:colOff>288925</xdr:colOff>
      <xdr:row>35</xdr:row>
      <xdr:rowOff>277813</xdr:rowOff>
    </xdr:to>
    <xdr:cxnSp macro="">
      <xdr:nvCxnSpPr>
        <xdr:cNvPr id="101" name="100 Conector recto de flecha">
          <a:extLst>
            <a:ext uri="{FF2B5EF4-FFF2-40B4-BE49-F238E27FC236}">
              <a16:creationId xmlns:a16="http://schemas.microsoft.com/office/drawing/2014/main" id="{00000000-0008-0000-0200-000065000000}"/>
            </a:ext>
          </a:extLst>
        </xdr:cNvPr>
        <xdr:cNvCxnSpPr/>
      </xdr:nvCxnSpPr>
      <xdr:spPr>
        <a:xfrm flipV="1">
          <a:off x="13996988" y="9955212"/>
          <a:ext cx="769937" cy="1"/>
        </a:xfrm>
        <a:prstGeom prst="straightConnector1">
          <a:avLst/>
        </a:prstGeom>
        <a:ln w="28575"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460375</xdr:colOff>
      <xdr:row>40</xdr:row>
      <xdr:rowOff>247650</xdr:rowOff>
    </xdr:from>
    <xdr:to>
      <xdr:col>10</xdr:col>
      <xdr:colOff>14287</xdr:colOff>
      <xdr:row>40</xdr:row>
      <xdr:rowOff>247651</xdr:rowOff>
    </xdr:to>
    <xdr:cxnSp macro="">
      <xdr:nvCxnSpPr>
        <xdr:cNvPr id="103" name="102 Conector recto de flecha">
          <a:extLst>
            <a:ext uri="{FF2B5EF4-FFF2-40B4-BE49-F238E27FC236}">
              <a16:creationId xmlns:a16="http://schemas.microsoft.com/office/drawing/2014/main" id="{00000000-0008-0000-0200-000067000000}"/>
            </a:ext>
          </a:extLst>
        </xdr:cNvPr>
        <xdr:cNvCxnSpPr/>
      </xdr:nvCxnSpPr>
      <xdr:spPr>
        <a:xfrm flipV="1">
          <a:off x="14316075" y="11855450"/>
          <a:ext cx="760412" cy="1"/>
        </a:xfrm>
        <a:prstGeom prst="straightConnector1">
          <a:avLst/>
        </a:prstGeom>
        <a:ln w="28575"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38100</xdr:colOff>
      <xdr:row>40</xdr:row>
      <xdr:rowOff>336550</xdr:rowOff>
    </xdr:from>
    <xdr:to>
      <xdr:col>11</xdr:col>
      <xdr:colOff>493712</xdr:colOff>
      <xdr:row>40</xdr:row>
      <xdr:rowOff>342900</xdr:rowOff>
    </xdr:to>
    <xdr:cxnSp macro="">
      <xdr:nvCxnSpPr>
        <xdr:cNvPr id="104" name="103 Conector recto de flecha">
          <a:extLst>
            <a:ext uri="{FF2B5EF4-FFF2-40B4-BE49-F238E27FC236}">
              <a16:creationId xmlns:a16="http://schemas.microsoft.com/office/drawing/2014/main" id="{00000000-0008-0000-0200-000068000000}"/>
            </a:ext>
          </a:extLst>
        </xdr:cNvPr>
        <xdr:cNvCxnSpPr>
          <a:stCxn id="92" idx="3"/>
          <a:endCxn id="120" idx="1"/>
        </xdr:cNvCxnSpPr>
      </xdr:nvCxnSpPr>
      <xdr:spPr>
        <a:xfrm>
          <a:off x="15913100" y="12134850"/>
          <a:ext cx="455612" cy="6350"/>
        </a:xfrm>
        <a:prstGeom prst="straightConnector1">
          <a:avLst/>
        </a:prstGeom>
        <a:ln w="28575"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285749</xdr:colOff>
      <xdr:row>27</xdr:row>
      <xdr:rowOff>1</xdr:rowOff>
    </xdr:from>
    <xdr:to>
      <xdr:col>14</xdr:col>
      <xdr:colOff>1171574</xdr:colOff>
      <xdr:row>30</xdr:row>
      <xdr:rowOff>66675</xdr:rowOff>
    </xdr:to>
    <xdr:sp macro="" textlink="">
      <xdr:nvSpPr>
        <xdr:cNvPr id="114" name="113 Decisión">
          <a:extLst>
            <a:ext uri="{FF2B5EF4-FFF2-40B4-BE49-F238E27FC236}">
              <a16:creationId xmlns:a16="http://schemas.microsoft.com/office/drawing/2014/main" id="{00000000-0008-0000-0200-000072000000}"/>
            </a:ext>
          </a:extLst>
        </xdr:cNvPr>
        <xdr:cNvSpPr/>
      </xdr:nvSpPr>
      <xdr:spPr>
        <a:xfrm>
          <a:off x="8953499" y="2419351"/>
          <a:ext cx="885825" cy="638174"/>
        </a:xfrm>
        <a:prstGeom prst="flowChartDecision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8</xdr:col>
      <xdr:colOff>838200</xdr:colOff>
      <xdr:row>28</xdr:row>
      <xdr:rowOff>128588</xdr:rowOff>
    </xdr:from>
    <xdr:to>
      <xdr:col>14</xdr:col>
      <xdr:colOff>285749</xdr:colOff>
      <xdr:row>28</xdr:row>
      <xdr:rowOff>142875</xdr:rowOff>
    </xdr:to>
    <xdr:cxnSp macro="">
      <xdr:nvCxnSpPr>
        <xdr:cNvPr id="115" name="114 Conector recto de flecha">
          <a:extLst>
            <a:ext uri="{FF2B5EF4-FFF2-40B4-BE49-F238E27FC236}">
              <a16:creationId xmlns:a16="http://schemas.microsoft.com/office/drawing/2014/main" id="{00000000-0008-0000-0200-000073000000}"/>
            </a:ext>
          </a:extLst>
        </xdr:cNvPr>
        <xdr:cNvCxnSpPr>
          <a:stCxn id="87" idx="3"/>
          <a:endCxn id="114" idx="1"/>
        </xdr:cNvCxnSpPr>
      </xdr:nvCxnSpPr>
      <xdr:spPr>
        <a:xfrm flipV="1">
          <a:off x="6629400" y="2738438"/>
          <a:ext cx="2324099" cy="14287"/>
        </a:xfrm>
        <a:prstGeom prst="straightConnector1">
          <a:avLst/>
        </a:prstGeom>
        <a:ln w="28575"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1171574</xdr:colOff>
      <xdr:row>28</xdr:row>
      <xdr:rowOff>128588</xdr:rowOff>
    </xdr:from>
    <xdr:to>
      <xdr:col>16</xdr:col>
      <xdr:colOff>228599</xdr:colOff>
      <xdr:row>28</xdr:row>
      <xdr:rowOff>138113</xdr:rowOff>
    </xdr:to>
    <xdr:cxnSp macro="">
      <xdr:nvCxnSpPr>
        <xdr:cNvPr id="116" name="115 Conector recto de flecha">
          <a:extLst>
            <a:ext uri="{FF2B5EF4-FFF2-40B4-BE49-F238E27FC236}">
              <a16:creationId xmlns:a16="http://schemas.microsoft.com/office/drawing/2014/main" id="{00000000-0008-0000-0200-000074000000}"/>
            </a:ext>
          </a:extLst>
        </xdr:cNvPr>
        <xdr:cNvCxnSpPr>
          <a:stCxn id="114" idx="3"/>
          <a:endCxn id="155" idx="1"/>
        </xdr:cNvCxnSpPr>
      </xdr:nvCxnSpPr>
      <xdr:spPr>
        <a:xfrm>
          <a:off x="9839324" y="2738438"/>
          <a:ext cx="1485900" cy="9525"/>
        </a:xfrm>
        <a:prstGeom prst="straightConnector1">
          <a:avLst/>
        </a:prstGeom>
        <a:ln w="28575"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493712</xdr:colOff>
      <xdr:row>40</xdr:row>
      <xdr:rowOff>12700</xdr:rowOff>
    </xdr:from>
    <xdr:to>
      <xdr:col>13</xdr:col>
      <xdr:colOff>119062</xdr:colOff>
      <xdr:row>41</xdr:row>
      <xdr:rowOff>38100</xdr:rowOff>
    </xdr:to>
    <xdr:sp macro="" textlink="">
      <xdr:nvSpPr>
        <xdr:cNvPr id="120" name="119 Proceso">
          <a:extLst>
            <a:ext uri="{FF2B5EF4-FFF2-40B4-BE49-F238E27FC236}">
              <a16:creationId xmlns:a16="http://schemas.microsoft.com/office/drawing/2014/main" id="{00000000-0008-0000-0200-000078000000}"/>
            </a:ext>
          </a:extLst>
        </xdr:cNvPr>
        <xdr:cNvSpPr/>
      </xdr:nvSpPr>
      <xdr:spPr>
        <a:xfrm>
          <a:off x="16368712" y="11811000"/>
          <a:ext cx="1301750" cy="660400"/>
        </a:xfrm>
        <a:prstGeom prst="flowChartProcess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14</xdr:col>
      <xdr:colOff>727076</xdr:colOff>
      <xdr:row>30</xdr:row>
      <xdr:rowOff>66675</xdr:rowOff>
    </xdr:from>
    <xdr:to>
      <xdr:col>14</xdr:col>
      <xdr:colOff>728662</xdr:colOff>
      <xdr:row>32</xdr:row>
      <xdr:rowOff>0</xdr:rowOff>
    </xdr:to>
    <xdr:cxnSp macro="">
      <xdr:nvCxnSpPr>
        <xdr:cNvPr id="123" name="122 Conector recto de flecha">
          <a:extLst>
            <a:ext uri="{FF2B5EF4-FFF2-40B4-BE49-F238E27FC236}">
              <a16:creationId xmlns:a16="http://schemas.microsoft.com/office/drawing/2014/main" id="{00000000-0008-0000-0200-00007B000000}"/>
            </a:ext>
          </a:extLst>
        </xdr:cNvPr>
        <xdr:cNvCxnSpPr>
          <a:stCxn id="114" idx="2"/>
          <a:endCxn id="132" idx="0"/>
        </xdr:cNvCxnSpPr>
      </xdr:nvCxnSpPr>
      <xdr:spPr>
        <a:xfrm flipH="1">
          <a:off x="17656176" y="8575675"/>
          <a:ext cx="1586" cy="314325"/>
        </a:xfrm>
        <a:prstGeom prst="straightConnector1">
          <a:avLst/>
        </a:prstGeom>
        <a:ln w="28575"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1</xdr:colOff>
      <xdr:row>32</xdr:row>
      <xdr:rowOff>0</xdr:rowOff>
    </xdr:from>
    <xdr:to>
      <xdr:col>15</xdr:col>
      <xdr:colOff>133351</xdr:colOff>
      <xdr:row>35</xdr:row>
      <xdr:rowOff>190500</xdr:rowOff>
    </xdr:to>
    <xdr:sp macro="" textlink="">
      <xdr:nvSpPr>
        <xdr:cNvPr id="132" name="131 Proceso alternativo">
          <a:extLst>
            <a:ext uri="{FF2B5EF4-FFF2-40B4-BE49-F238E27FC236}">
              <a16:creationId xmlns:a16="http://schemas.microsoft.com/office/drawing/2014/main" id="{00000000-0008-0000-0200-000084000000}"/>
            </a:ext>
          </a:extLst>
        </xdr:cNvPr>
        <xdr:cNvSpPr/>
      </xdr:nvSpPr>
      <xdr:spPr>
        <a:xfrm>
          <a:off x="16929101" y="8890000"/>
          <a:ext cx="1454150" cy="977900"/>
        </a:xfrm>
        <a:prstGeom prst="flowChartAlternateProcess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16</xdr:col>
      <xdr:colOff>228599</xdr:colOff>
      <xdr:row>27</xdr:row>
      <xdr:rowOff>9526</xdr:rowOff>
    </xdr:from>
    <xdr:to>
      <xdr:col>16</xdr:col>
      <xdr:colOff>1095375</xdr:colOff>
      <xdr:row>30</xdr:row>
      <xdr:rowOff>76200</xdr:rowOff>
    </xdr:to>
    <xdr:sp macro="" textlink="">
      <xdr:nvSpPr>
        <xdr:cNvPr id="155" name="154 Decisión">
          <a:extLst>
            <a:ext uri="{FF2B5EF4-FFF2-40B4-BE49-F238E27FC236}">
              <a16:creationId xmlns:a16="http://schemas.microsoft.com/office/drawing/2014/main" id="{00000000-0008-0000-0200-00009B000000}"/>
            </a:ext>
          </a:extLst>
        </xdr:cNvPr>
        <xdr:cNvSpPr/>
      </xdr:nvSpPr>
      <xdr:spPr>
        <a:xfrm>
          <a:off x="11325224" y="2428876"/>
          <a:ext cx="866776" cy="638174"/>
        </a:xfrm>
        <a:prstGeom prst="flowChartDecision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16</xdr:col>
      <xdr:colOff>1095375</xdr:colOff>
      <xdr:row>28</xdr:row>
      <xdr:rowOff>114300</xdr:rowOff>
    </xdr:from>
    <xdr:to>
      <xdr:col>18</xdr:col>
      <xdr:colOff>698500</xdr:colOff>
      <xdr:row>28</xdr:row>
      <xdr:rowOff>138113</xdr:rowOff>
    </xdr:to>
    <xdr:cxnSp macro="">
      <xdr:nvCxnSpPr>
        <xdr:cNvPr id="156" name="155 Conector recto de flecha">
          <a:extLst>
            <a:ext uri="{FF2B5EF4-FFF2-40B4-BE49-F238E27FC236}">
              <a16:creationId xmlns:a16="http://schemas.microsoft.com/office/drawing/2014/main" id="{00000000-0008-0000-0200-00009C000000}"/>
            </a:ext>
          </a:extLst>
        </xdr:cNvPr>
        <xdr:cNvCxnSpPr>
          <a:stCxn id="155" idx="3"/>
        </xdr:cNvCxnSpPr>
      </xdr:nvCxnSpPr>
      <xdr:spPr>
        <a:xfrm flipV="1">
          <a:off x="19624675" y="8242300"/>
          <a:ext cx="1597025" cy="23813"/>
        </a:xfrm>
        <a:prstGeom prst="straightConnector1">
          <a:avLst/>
        </a:prstGeom>
        <a:ln w="28575"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661987</xdr:colOff>
      <xdr:row>30</xdr:row>
      <xdr:rowOff>76200</xdr:rowOff>
    </xdr:from>
    <xdr:to>
      <xdr:col>16</xdr:col>
      <xdr:colOff>688976</xdr:colOff>
      <xdr:row>32</xdr:row>
      <xdr:rowOff>0</xdr:rowOff>
    </xdr:to>
    <xdr:cxnSp macro="">
      <xdr:nvCxnSpPr>
        <xdr:cNvPr id="157" name="156 Conector recto de flecha">
          <a:extLst>
            <a:ext uri="{FF2B5EF4-FFF2-40B4-BE49-F238E27FC236}">
              <a16:creationId xmlns:a16="http://schemas.microsoft.com/office/drawing/2014/main" id="{00000000-0008-0000-0200-00009D000000}"/>
            </a:ext>
          </a:extLst>
        </xdr:cNvPr>
        <xdr:cNvCxnSpPr>
          <a:stCxn id="155" idx="2"/>
          <a:endCxn id="158" idx="0"/>
        </xdr:cNvCxnSpPr>
      </xdr:nvCxnSpPr>
      <xdr:spPr>
        <a:xfrm>
          <a:off x="19496087" y="8585200"/>
          <a:ext cx="26989" cy="304800"/>
        </a:xfrm>
        <a:prstGeom prst="straightConnector1">
          <a:avLst/>
        </a:prstGeom>
        <a:ln w="28575"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1</xdr:colOff>
      <xdr:row>32</xdr:row>
      <xdr:rowOff>0</xdr:rowOff>
    </xdr:from>
    <xdr:to>
      <xdr:col>17</xdr:col>
      <xdr:colOff>133351</xdr:colOff>
      <xdr:row>35</xdr:row>
      <xdr:rowOff>152400</xdr:rowOff>
    </xdr:to>
    <xdr:sp macro="" textlink="">
      <xdr:nvSpPr>
        <xdr:cNvPr id="158" name="157 Proceso alternativo">
          <a:extLst>
            <a:ext uri="{FF2B5EF4-FFF2-40B4-BE49-F238E27FC236}">
              <a16:creationId xmlns:a16="http://schemas.microsoft.com/office/drawing/2014/main" id="{00000000-0008-0000-0200-00009E000000}"/>
            </a:ext>
          </a:extLst>
        </xdr:cNvPr>
        <xdr:cNvSpPr/>
      </xdr:nvSpPr>
      <xdr:spPr>
        <a:xfrm>
          <a:off x="18834101" y="8890000"/>
          <a:ext cx="1377950" cy="939800"/>
        </a:xfrm>
        <a:prstGeom prst="flowChartAlternateProcess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14</xdr:col>
      <xdr:colOff>727076</xdr:colOff>
      <xdr:row>35</xdr:row>
      <xdr:rowOff>190500</xdr:rowOff>
    </xdr:from>
    <xdr:to>
      <xdr:col>14</xdr:col>
      <xdr:colOff>731838</xdr:colOff>
      <xdr:row>36</xdr:row>
      <xdr:rowOff>103189</xdr:rowOff>
    </xdr:to>
    <xdr:cxnSp macro="">
      <xdr:nvCxnSpPr>
        <xdr:cNvPr id="174" name="173 Conector recto de flecha">
          <a:extLst>
            <a:ext uri="{FF2B5EF4-FFF2-40B4-BE49-F238E27FC236}">
              <a16:creationId xmlns:a16="http://schemas.microsoft.com/office/drawing/2014/main" id="{00000000-0008-0000-0200-0000AE000000}"/>
            </a:ext>
          </a:extLst>
        </xdr:cNvPr>
        <xdr:cNvCxnSpPr>
          <a:stCxn id="132" idx="2"/>
          <a:endCxn id="175" idx="0"/>
        </xdr:cNvCxnSpPr>
      </xdr:nvCxnSpPr>
      <xdr:spPr>
        <a:xfrm>
          <a:off x="17351376" y="9867900"/>
          <a:ext cx="4762" cy="293689"/>
        </a:xfrm>
        <a:prstGeom prst="straightConnector1">
          <a:avLst/>
        </a:prstGeom>
        <a:ln w="28575"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298450</xdr:colOff>
      <xdr:row>36</xdr:row>
      <xdr:rowOff>103189</xdr:rowOff>
    </xdr:from>
    <xdr:to>
      <xdr:col>14</xdr:col>
      <xdr:colOff>1165225</xdr:colOff>
      <xdr:row>38</xdr:row>
      <xdr:rowOff>38101</xdr:rowOff>
    </xdr:to>
    <xdr:sp macro="" textlink="">
      <xdr:nvSpPr>
        <xdr:cNvPr id="175" name="174 Terminador">
          <a:extLst>
            <a:ext uri="{FF2B5EF4-FFF2-40B4-BE49-F238E27FC236}">
              <a16:creationId xmlns:a16="http://schemas.microsoft.com/office/drawing/2014/main" id="{00000000-0008-0000-0200-0000AF000000}"/>
            </a:ext>
          </a:extLst>
        </xdr:cNvPr>
        <xdr:cNvSpPr/>
      </xdr:nvSpPr>
      <xdr:spPr>
        <a:xfrm>
          <a:off x="16922750" y="10161589"/>
          <a:ext cx="866775" cy="315912"/>
        </a:xfrm>
        <a:prstGeom prst="flowChartTerminator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16</xdr:col>
      <xdr:colOff>758826</xdr:colOff>
      <xdr:row>35</xdr:row>
      <xdr:rowOff>152400</xdr:rowOff>
    </xdr:from>
    <xdr:to>
      <xdr:col>16</xdr:col>
      <xdr:colOff>769938</xdr:colOff>
      <xdr:row>36</xdr:row>
      <xdr:rowOff>119063</xdr:rowOff>
    </xdr:to>
    <xdr:cxnSp macro="">
      <xdr:nvCxnSpPr>
        <xdr:cNvPr id="178" name="177 Conector recto de flecha">
          <a:extLst>
            <a:ext uri="{FF2B5EF4-FFF2-40B4-BE49-F238E27FC236}">
              <a16:creationId xmlns:a16="http://schemas.microsoft.com/office/drawing/2014/main" id="{00000000-0008-0000-0200-0000B2000000}"/>
            </a:ext>
          </a:extLst>
        </xdr:cNvPr>
        <xdr:cNvCxnSpPr>
          <a:stCxn id="158" idx="2"/>
          <a:endCxn id="179" idx="0"/>
        </xdr:cNvCxnSpPr>
      </xdr:nvCxnSpPr>
      <xdr:spPr>
        <a:xfrm>
          <a:off x="19402426" y="9829800"/>
          <a:ext cx="11112" cy="347663"/>
        </a:xfrm>
        <a:prstGeom prst="straightConnector1">
          <a:avLst/>
        </a:prstGeom>
        <a:ln w="28575"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336550</xdr:colOff>
      <xdr:row>36</xdr:row>
      <xdr:rowOff>119063</xdr:rowOff>
    </xdr:from>
    <xdr:to>
      <xdr:col>16</xdr:col>
      <xdr:colOff>1203325</xdr:colOff>
      <xdr:row>38</xdr:row>
      <xdr:rowOff>50800</xdr:rowOff>
    </xdr:to>
    <xdr:sp macro="" textlink="">
      <xdr:nvSpPr>
        <xdr:cNvPr id="179" name="178 Terminador">
          <a:extLst>
            <a:ext uri="{FF2B5EF4-FFF2-40B4-BE49-F238E27FC236}">
              <a16:creationId xmlns:a16="http://schemas.microsoft.com/office/drawing/2014/main" id="{00000000-0008-0000-0200-0000B3000000}"/>
            </a:ext>
          </a:extLst>
        </xdr:cNvPr>
        <xdr:cNvSpPr/>
      </xdr:nvSpPr>
      <xdr:spPr>
        <a:xfrm>
          <a:off x="18980150" y="10177463"/>
          <a:ext cx="866775" cy="312737"/>
        </a:xfrm>
        <a:prstGeom prst="flowChartTerminator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18</xdr:col>
      <xdr:colOff>685800</xdr:colOff>
      <xdr:row>28</xdr:row>
      <xdr:rowOff>127000</xdr:rowOff>
    </xdr:from>
    <xdr:to>
      <xdr:col>18</xdr:col>
      <xdr:colOff>698501</xdr:colOff>
      <xdr:row>32</xdr:row>
      <xdr:rowOff>0</xdr:rowOff>
    </xdr:to>
    <xdr:cxnSp macro="">
      <xdr:nvCxnSpPr>
        <xdr:cNvPr id="186" name="185 Conector recto de flecha">
          <a:extLst>
            <a:ext uri="{FF2B5EF4-FFF2-40B4-BE49-F238E27FC236}">
              <a16:creationId xmlns:a16="http://schemas.microsoft.com/office/drawing/2014/main" id="{00000000-0008-0000-0200-0000BA000000}"/>
            </a:ext>
          </a:extLst>
        </xdr:cNvPr>
        <xdr:cNvCxnSpPr>
          <a:endCxn id="187" idx="0"/>
        </xdr:cNvCxnSpPr>
      </xdr:nvCxnSpPr>
      <xdr:spPr>
        <a:xfrm>
          <a:off x="21209000" y="8255000"/>
          <a:ext cx="12701" cy="635000"/>
        </a:xfrm>
        <a:prstGeom prst="straightConnector1">
          <a:avLst/>
        </a:prstGeom>
        <a:ln w="28575"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1</xdr:colOff>
      <xdr:row>32</xdr:row>
      <xdr:rowOff>0</xdr:rowOff>
    </xdr:from>
    <xdr:to>
      <xdr:col>19</xdr:col>
      <xdr:colOff>76200</xdr:colOff>
      <xdr:row>35</xdr:row>
      <xdr:rowOff>165100</xdr:rowOff>
    </xdr:to>
    <xdr:sp macro="" textlink="">
      <xdr:nvSpPr>
        <xdr:cNvPr id="187" name="186 Proceso alternativo">
          <a:extLst>
            <a:ext uri="{FF2B5EF4-FFF2-40B4-BE49-F238E27FC236}">
              <a16:creationId xmlns:a16="http://schemas.microsoft.com/office/drawing/2014/main" id="{00000000-0008-0000-0200-0000BB000000}"/>
            </a:ext>
          </a:extLst>
        </xdr:cNvPr>
        <xdr:cNvSpPr/>
      </xdr:nvSpPr>
      <xdr:spPr>
        <a:xfrm>
          <a:off x="20523201" y="8890000"/>
          <a:ext cx="1396999" cy="952500"/>
        </a:xfrm>
        <a:prstGeom prst="flowChartAlternateProcess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18</xdr:col>
      <xdr:colOff>681038</xdr:colOff>
      <xdr:row>35</xdr:row>
      <xdr:rowOff>165100</xdr:rowOff>
    </xdr:from>
    <xdr:to>
      <xdr:col>18</xdr:col>
      <xdr:colOff>698501</xdr:colOff>
      <xdr:row>36</xdr:row>
      <xdr:rowOff>119063</xdr:rowOff>
    </xdr:to>
    <xdr:cxnSp macro="">
      <xdr:nvCxnSpPr>
        <xdr:cNvPr id="188" name="187 Conector recto de flecha">
          <a:extLst>
            <a:ext uri="{FF2B5EF4-FFF2-40B4-BE49-F238E27FC236}">
              <a16:creationId xmlns:a16="http://schemas.microsoft.com/office/drawing/2014/main" id="{00000000-0008-0000-0200-0000BC000000}"/>
            </a:ext>
          </a:extLst>
        </xdr:cNvPr>
        <xdr:cNvCxnSpPr>
          <a:stCxn id="187" idx="2"/>
          <a:endCxn id="189" idx="0"/>
        </xdr:cNvCxnSpPr>
      </xdr:nvCxnSpPr>
      <xdr:spPr>
        <a:xfrm flipH="1">
          <a:off x="21318538" y="9842500"/>
          <a:ext cx="17463" cy="334963"/>
        </a:xfrm>
        <a:prstGeom prst="straightConnector1">
          <a:avLst/>
        </a:prstGeom>
        <a:ln w="28575"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247650</xdr:colOff>
      <xdr:row>36</xdr:row>
      <xdr:rowOff>119063</xdr:rowOff>
    </xdr:from>
    <xdr:to>
      <xdr:col>18</xdr:col>
      <xdr:colOff>1114425</xdr:colOff>
      <xdr:row>38</xdr:row>
      <xdr:rowOff>76200</xdr:rowOff>
    </xdr:to>
    <xdr:sp macro="" textlink="">
      <xdr:nvSpPr>
        <xdr:cNvPr id="189" name="188 Terminador">
          <a:extLst>
            <a:ext uri="{FF2B5EF4-FFF2-40B4-BE49-F238E27FC236}">
              <a16:creationId xmlns:a16="http://schemas.microsoft.com/office/drawing/2014/main" id="{00000000-0008-0000-0200-0000BD000000}"/>
            </a:ext>
          </a:extLst>
        </xdr:cNvPr>
        <xdr:cNvSpPr/>
      </xdr:nvSpPr>
      <xdr:spPr>
        <a:xfrm>
          <a:off x="20885150" y="10177463"/>
          <a:ext cx="866775" cy="338137"/>
        </a:xfrm>
        <a:prstGeom prst="flowChartTerminator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</xdr:col>
      <xdr:colOff>330200</xdr:colOff>
      <xdr:row>14</xdr:row>
      <xdr:rowOff>90488</xdr:rowOff>
    </xdr:from>
    <xdr:to>
      <xdr:col>1</xdr:col>
      <xdr:colOff>333375</xdr:colOff>
      <xdr:row>15</xdr:row>
      <xdr:rowOff>177800</xdr:rowOff>
    </xdr:to>
    <xdr:cxnSp macro="">
      <xdr:nvCxnSpPr>
        <xdr:cNvPr id="209" name="208 Conector recto de flecha">
          <a:extLst>
            <a:ext uri="{FF2B5EF4-FFF2-40B4-BE49-F238E27FC236}">
              <a16:creationId xmlns:a16="http://schemas.microsoft.com/office/drawing/2014/main" id="{00000000-0008-0000-0200-0000D1000000}"/>
            </a:ext>
          </a:extLst>
        </xdr:cNvPr>
        <xdr:cNvCxnSpPr>
          <a:stCxn id="210" idx="2"/>
          <a:endCxn id="213" idx="0"/>
        </xdr:cNvCxnSpPr>
      </xdr:nvCxnSpPr>
      <xdr:spPr>
        <a:xfrm flipH="1">
          <a:off x="8724900" y="4751388"/>
          <a:ext cx="3175" cy="277812"/>
        </a:xfrm>
        <a:prstGeom prst="straightConnector1">
          <a:avLst/>
        </a:prstGeom>
        <a:ln w="28575"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838200</xdr:colOff>
      <xdr:row>12</xdr:row>
      <xdr:rowOff>139700</xdr:rowOff>
    </xdr:from>
    <xdr:to>
      <xdr:col>1</xdr:col>
      <xdr:colOff>742950</xdr:colOff>
      <xdr:row>14</xdr:row>
      <xdr:rowOff>90488</xdr:rowOff>
    </xdr:to>
    <xdr:sp macro="" textlink="">
      <xdr:nvSpPr>
        <xdr:cNvPr id="210" name="209 Terminador">
          <a:extLst>
            <a:ext uri="{FF2B5EF4-FFF2-40B4-BE49-F238E27FC236}">
              <a16:creationId xmlns:a16="http://schemas.microsoft.com/office/drawing/2014/main" id="{00000000-0008-0000-0200-0000D2000000}"/>
            </a:ext>
          </a:extLst>
        </xdr:cNvPr>
        <xdr:cNvSpPr/>
      </xdr:nvSpPr>
      <xdr:spPr>
        <a:xfrm>
          <a:off x="8318500" y="4419600"/>
          <a:ext cx="819150" cy="331788"/>
        </a:xfrm>
        <a:prstGeom prst="flowChartTerminator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0</xdr:col>
      <xdr:colOff>38100</xdr:colOff>
      <xdr:row>15</xdr:row>
      <xdr:rowOff>177800</xdr:rowOff>
    </xdr:from>
    <xdr:to>
      <xdr:col>3</xdr:col>
      <xdr:colOff>228600</xdr:colOff>
      <xdr:row>18</xdr:row>
      <xdr:rowOff>165099</xdr:rowOff>
    </xdr:to>
    <xdr:sp macro="" textlink="">
      <xdr:nvSpPr>
        <xdr:cNvPr id="213" name="212 Decisión">
          <a:extLst>
            <a:ext uri="{FF2B5EF4-FFF2-40B4-BE49-F238E27FC236}">
              <a16:creationId xmlns:a16="http://schemas.microsoft.com/office/drawing/2014/main" id="{00000000-0008-0000-0200-0000D5000000}"/>
            </a:ext>
          </a:extLst>
        </xdr:cNvPr>
        <xdr:cNvSpPr/>
      </xdr:nvSpPr>
      <xdr:spPr>
        <a:xfrm>
          <a:off x="7518400" y="5029200"/>
          <a:ext cx="2413000" cy="1130299"/>
        </a:xfrm>
        <a:prstGeom prst="flowChartDecision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</xdr:col>
      <xdr:colOff>330200</xdr:colOff>
      <xdr:row>18</xdr:row>
      <xdr:rowOff>165099</xdr:rowOff>
    </xdr:from>
    <xdr:to>
      <xdr:col>1</xdr:col>
      <xdr:colOff>330200</xdr:colOff>
      <xdr:row>20</xdr:row>
      <xdr:rowOff>88900</xdr:rowOff>
    </xdr:to>
    <xdr:cxnSp macro="">
      <xdr:nvCxnSpPr>
        <xdr:cNvPr id="218" name="217 Conector recto de flecha">
          <a:extLst>
            <a:ext uri="{FF2B5EF4-FFF2-40B4-BE49-F238E27FC236}">
              <a16:creationId xmlns:a16="http://schemas.microsoft.com/office/drawing/2014/main" id="{00000000-0008-0000-0200-0000DA000000}"/>
            </a:ext>
          </a:extLst>
        </xdr:cNvPr>
        <xdr:cNvCxnSpPr>
          <a:stCxn id="213" idx="2"/>
        </xdr:cNvCxnSpPr>
      </xdr:nvCxnSpPr>
      <xdr:spPr>
        <a:xfrm>
          <a:off x="8724900" y="6159499"/>
          <a:ext cx="0" cy="304801"/>
        </a:xfrm>
        <a:prstGeom prst="straightConnector1">
          <a:avLst/>
        </a:prstGeom>
        <a:ln w="28575"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38100</xdr:colOff>
      <xdr:row>20</xdr:row>
      <xdr:rowOff>76200</xdr:rowOff>
    </xdr:from>
    <xdr:to>
      <xdr:col>3</xdr:col>
      <xdr:colOff>228600</xdr:colOff>
      <xdr:row>24</xdr:row>
      <xdr:rowOff>101600</xdr:rowOff>
    </xdr:to>
    <xdr:sp macro="" textlink="">
      <xdr:nvSpPr>
        <xdr:cNvPr id="219" name="218 Decisión">
          <a:extLst>
            <a:ext uri="{FF2B5EF4-FFF2-40B4-BE49-F238E27FC236}">
              <a16:creationId xmlns:a16="http://schemas.microsoft.com/office/drawing/2014/main" id="{00000000-0008-0000-0200-0000DB000000}"/>
            </a:ext>
          </a:extLst>
        </xdr:cNvPr>
        <xdr:cNvSpPr/>
      </xdr:nvSpPr>
      <xdr:spPr>
        <a:xfrm>
          <a:off x="7518400" y="6451600"/>
          <a:ext cx="2413000" cy="1016000"/>
        </a:xfrm>
        <a:prstGeom prst="flowChartDecision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</xdr:col>
      <xdr:colOff>330200</xdr:colOff>
      <xdr:row>24</xdr:row>
      <xdr:rowOff>101600</xdr:rowOff>
    </xdr:from>
    <xdr:to>
      <xdr:col>1</xdr:col>
      <xdr:colOff>334963</xdr:colOff>
      <xdr:row>26</xdr:row>
      <xdr:rowOff>57150</xdr:rowOff>
    </xdr:to>
    <xdr:cxnSp macro="">
      <xdr:nvCxnSpPr>
        <xdr:cNvPr id="220" name="219 Conector recto de flecha">
          <a:extLst>
            <a:ext uri="{FF2B5EF4-FFF2-40B4-BE49-F238E27FC236}">
              <a16:creationId xmlns:a16="http://schemas.microsoft.com/office/drawing/2014/main" id="{00000000-0008-0000-0200-0000DC000000}"/>
            </a:ext>
          </a:extLst>
        </xdr:cNvPr>
        <xdr:cNvCxnSpPr>
          <a:stCxn id="219" idx="2"/>
        </xdr:cNvCxnSpPr>
      </xdr:nvCxnSpPr>
      <xdr:spPr>
        <a:xfrm>
          <a:off x="8724900" y="7467600"/>
          <a:ext cx="4763" cy="336550"/>
        </a:xfrm>
        <a:prstGeom prst="straightConnector1">
          <a:avLst/>
        </a:prstGeom>
        <a:ln w="28575"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257175</xdr:colOff>
      <xdr:row>15</xdr:row>
      <xdr:rowOff>419101</xdr:rowOff>
    </xdr:from>
    <xdr:to>
      <xdr:col>5</xdr:col>
      <xdr:colOff>1104900</xdr:colOff>
      <xdr:row>17</xdr:row>
      <xdr:rowOff>76201</xdr:rowOff>
    </xdr:to>
    <xdr:sp macro="" textlink="">
      <xdr:nvSpPr>
        <xdr:cNvPr id="234" name="233 Proceso">
          <a:extLst>
            <a:ext uri="{FF2B5EF4-FFF2-40B4-BE49-F238E27FC236}">
              <a16:creationId xmlns:a16="http://schemas.microsoft.com/office/drawing/2014/main" id="{00000000-0008-0000-0200-0000EA000000}"/>
            </a:ext>
          </a:extLst>
        </xdr:cNvPr>
        <xdr:cNvSpPr/>
      </xdr:nvSpPr>
      <xdr:spPr>
        <a:xfrm>
          <a:off x="10874375" y="5270501"/>
          <a:ext cx="1139825" cy="609600"/>
        </a:xfrm>
        <a:prstGeom prst="flowChartProcess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3</xdr:col>
      <xdr:colOff>228600</xdr:colOff>
      <xdr:row>16</xdr:row>
      <xdr:rowOff>279401</xdr:rowOff>
    </xdr:from>
    <xdr:to>
      <xdr:col>4</xdr:col>
      <xdr:colOff>257175</xdr:colOff>
      <xdr:row>16</xdr:row>
      <xdr:rowOff>298450</xdr:rowOff>
    </xdr:to>
    <xdr:cxnSp macro="">
      <xdr:nvCxnSpPr>
        <xdr:cNvPr id="235" name="234 Conector recto de flecha">
          <a:extLst>
            <a:ext uri="{FF2B5EF4-FFF2-40B4-BE49-F238E27FC236}">
              <a16:creationId xmlns:a16="http://schemas.microsoft.com/office/drawing/2014/main" id="{00000000-0008-0000-0200-0000EB000000}"/>
            </a:ext>
          </a:extLst>
        </xdr:cNvPr>
        <xdr:cNvCxnSpPr>
          <a:stCxn id="213" idx="3"/>
          <a:endCxn id="234" idx="1"/>
        </xdr:cNvCxnSpPr>
      </xdr:nvCxnSpPr>
      <xdr:spPr>
        <a:xfrm flipV="1">
          <a:off x="9931400" y="5575301"/>
          <a:ext cx="942975" cy="19049"/>
        </a:xfrm>
        <a:prstGeom prst="straightConnector1">
          <a:avLst/>
        </a:prstGeom>
        <a:ln w="28575"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257175</xdr:colOff>
      <xdr:row>21</xdr:row>
      <xdr:rowOff>101600</xdr:rowOff>
    </xdr:from>
    <xdr:to>
      <xdr:col>5</xdr:col>
      <xdr:colOff>1104900</xdr:colOff>
      <xdr:row>23</xdr:row>
      <xdr:rowOff>38101</xdr:rowOff>
    </xdr:to>
    <xdr:sp macro="" textlink="">
      <xdr:nvSpPr>
        <xdr:cNvPr id="244" name="243 Proceso">
          <a:extLst>
            <a:ext uri="{FF2B5EF4-FFF2-40B4-BE49-F238E27FC236}">
              <a16:creationId xmlns:a16="http://schemas.microsoft.com/office/drawing/2014/main" id="{00000000-0008-0000-0200-0000F4000000}"/>
            </a:ext>
          </a:extLst>
        </xdr:cNvPr>
        <xdr:cNvSpPr/>
      </xdr:nvSpPr>
      <xdr:spPr>
        <a:xfrm>
          <a:off x="4156075" y="4432300"/>
          <a:ext cx="1139825" cy="546101"/>
        </a:xfrm>
        <a:prstGeom prst="flowChartProcess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3</xdr:col>
      <xdr:colOff>228600</xdr:colOff>
      <xdr:row>22</xdr:row>
      <xdr:rowOff>184151</xdr:rowOff>
    </xdr:from>
    <xdr:to>
      <xdr:col>4</xdr:col>
      <xdr:colOff>257175</xdr:colOff>
      <xdr:row>22</xdr:row>
      <xdr:rowOff>203200</xdr:rowOff>
    </xdr:to>
    <xdr:cxnSp macro="">
      <xdr:nvCxnSpPr>
        <xdr:cNvPr id="245" name="244 Conector recto de flecha">
          <a:extLst>
            <a:ext uri="{FF2B5EF4-FFF2-40B4-BE49-F238E27FC236}">
              <a16:creationId xmlns:a16="http://schemas.microsoft.com/office/drawing/2014/main" id="{00000000-0008-0000-0200-0000F5000000}"/>
            </a:ext>
          </a:extLst>
        </xdr:cNvPr>
        <xdr:cNvCxnSpPr>
          <a:stCxn id="219" idx="3"/>
          <a:endCxn id="244" idx="1"/>
        </xdr:cNvCxnSpPr>
      </xdr:nvCxnSpPr>
      <xdr:spPr>
        <a:xfrm flipV="1">
          <a:off x="9931400" y="6940551"/>
          <a:ext cx="942975" cy="19049"/>
        </a:xfrm>
        <a:prstGeom prst="straightConnector1">
          <a:avLst/>
        </a:prstGeom>
        <a:ln w="28575"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257175</xdr:colOff>
      <xdr:row>44</xdr:row>
      <xdr:rowOff>381001</xdr:rowOff>
    </xdr:from>
    <xdr:to>
      <xdr:col>10</xdr:col>
      <xdr:colOff>1104900</xdr:colOff>
      <xdr:row>46</xdr:row>
      <xdr:rowOff>38101</xdr:rowOff>
    </xdr:to>
    <xdr:sp macro="" textlink="">
      <xdr:nvSpPr>
        <xdr:cNvPr id="248" name="247 Proceso">
          <a:extLst>
            <a:ext uri="{FF2B5EF4-FFF2-40B4-BE49-F238E27FC236}">
              <a16:creationId xmlns:a16="http://schemas.microsoft.com/office/drawing/2014/main" id="{00000000-0008-0000-0200-0000F8000000}"/>
            </a:ext>
          </a:extLst>
        </xdr:cNvPr>
        <xdr:cNvSpPr/>
      </xdr:nvSpPr>
      <xdr:spPr>
        <a:xfrm>
          <a:off x="4156075" y="2997201"/>
          <a:ext cx="1139825" cy="609600"/>
        </a:xfrm>
        <a:prstGeom prst="flowChartProcess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8</xdr:col>
      <xdr:colOff>241299</xdr:colOff>
      <xdr:row>45</xdr:row>
      <xdr:rowOff>188913</xdr:rowOff>
    </xdr:from>
    <xdr:to>
      <xdr:col>9</xdr:col>
      <xdr:colOff>257175</xdr:colOff>
      <xdr:row>45</xdr:row>
      <xdr:rowOff>209551</xdr:rowOff>
    </xdr:to>
    <xdr:cxnSp macro="">
      <xdr:nvCxnSpPr>
        <xdr:cNvPr id="249" name="248 Conector recto de flecha">
          <a:extLst>
            <a:ext uri="{FF2B5EF4-FFF2-40B4-BE49-F238E27FC236}">
              <a16:creationId xmlns:a16="http://schemas.microsoft.com/office/drawing/2014/main" id="{00000000-0008-0000-0200-0000F9000000}"/>
            </a:ext>
          </a:extLst>
        </xdr:cNvPr>
        <xdr:cNvCxnSpPr>
          <a:stCxn id="33" idx="3"/>
          <a:endCxn id="248" idx="1"/>
        </xdr:cNvCxnSpPr>
      </xdr:nvCxnSpPr>
      <xdr:spPr>
        <a:xfrm>
          <a:off x="14096999" y="13041313"/>
          <a:ext cx="904876" cy="20638"/>
        </a:xfrm>
        <a:prstGeom prst="straightConnector1">
          <a:avLst/>
        </a:prstGeom>
        <a:ln w="28575"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101600</xdr:colOff>
      <xdr:row>44</xdr:row>
      <xdr:rowOff>152400</xdr:rowOff>
    </xdr:from>
    <xdr:to>
      <xdr:col>15</xdr:col>
      <xdr:colOff>0</xdr:colOff>
      <xdr:row>46</xdr:row>
      <xdr:rowOff>38101</xdr:rowOff>
    </xdr:to>
    <xdr:sp macro="" textlink="">
      <xdr:nvSpPr>
        <xdr:cNvPr id="251" name="250 Proceso">
          <a:extLst>
            <a:ext uri="{FF2B5EF4-FFF2-40B4-BE49-F238E27FC236}">
              <a16:creationId xmlns:a16="http://schemas.microsoft.com/office/drawing/2014/main" id="{00000000-0008-0000-0200-0000FB000000}"/>
            </a:ext>
          </a:extLst>
        </xdr:cNvPr>
        <xdr:cNvSpPr/>
      </xdr:nvSpPr>
      <xdr:spPr>
        <a:xfrm>
          <a:off x="12217400" y="10769600"/>
          <a:ext cx="1143000" cy="457201"/>
        </a:xfrm>
        <a:prstGeom prst="flowChartProcess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13</xdr:col>
      <xdr:colOff>292100</xdr:colOff>
      <xdr:row>45</xdr:row>
      <xdr:rowOff>266701</xdr:rowOff>
    </xdr:from>
    <xdr:to>
      <xdr:col>14</xdr:col>
      <xdr:colOff>92075</xdr:colOff>
      <xdr:row>45</xdr:row>
      <xdr:rowOff>271463</xdr:rowOff>
    </xdr:to>
    <xdr:cxnSp macro="">
      <xdr:nvCxnSpPr>
        <xdr:cNvPr id="252" name="251 Conector recto de flecha">
          <a:extLst>
            <a:ext uri="{FF2B5EF4-FFF2-40B4-BE49-F238E27FC236}">
              <a16:creationId xmlns:a16="http://schemas.microsoft.com/office/drawing/2014/main" id="{00000000-0008-0000-0200-0000FC000000}"/>
            </a:ext>
          </a:extLst>
        </xdr:cNvPr>
        <xdr:cNvCxnSpPr/>
      </xdr:nvCxnSpPr>
      <xdr:spPr>
        <a:xfrm flipV="1">
          <a:off x="17843500" y="13462001"/>
          <a:ext cx="422275" cy="4762"/>
        </a:xfrm>
        <a:prstGeom prst="straightConnector1">
          <a:avLst/>
        </a:prstGeom>
        <a:ln w="28575"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22225</xdr:colOff>
      <xdr:row>35</xdr:row>
      <xdr:rowOff>333375</xdr:rowOff>
    </xdr:from>
    <xdr:to>
      <xdr:col>6</xdr:col>
      <xdr:colOff>438149</xdr:colOff>
      <xdr:row>35</xdr:row>
      <xdr:rowOff>334964</xdr:rowOff>
    </xdr:to>
    <xdr:cxnSp macro="">
      <xdr:nvCxnSpPr>
        <xdr:cNvPr id="76" name="75 Conector recto de flecha">
          <a:extLst>
            <a:ext uri="{FF2B5EF4-FFF2-40B4-BE49-F238E27FC236}">
              <a16:creationId xmlns:a16="http://schemas.microsoft.com/office/drawing/2014/main" id="{00000000-0008-0000-0200-00004C000000}"/>
            </a:ext>
          </a:extLst>
        </xdr:cNvPr>
        <xdr:cNvCxnSpPr/>
      </xdr:nvCxnSpPr>
      <xdr:spPr>
        <a:xfrm>
          <a:off x="11998325" y="10010775"/>
          <a:ext cx="415924" cy="1589"/>
        </a:xfrm>
        <a:prstGeom prst="straightConnector1">
          <a:avLst/>
        </a:prstGeom>
        <a:ln w="28575"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590550</xdr:colOff>
      <xdr:row>34</xdr:row>
      <xdr:rowOff>127000</xdr:rowOff>
    </xdr:from>
    <xdr:to>
      <xdr:col>13</xdr:col>
      <xdr:colOff>38100</xdr:colOff>
      <xdr:row>36</xdr:row>
      <xdr:rowOff>88900</xdr:rowOff>
    </xdr:to>
    <xdr:sp macro="" textlink="">
      <xdr:nvSpPr>
        <xdr:cNvPr id="77" name="76 Proceso">
          <a:extLst>
            <a:ext uri="{FF2B5EF4-FFF2-40B4-BE49-F238E27FC236}">
              <a16:creationId xmlns:a16="http://schemas.microsoft.com/office/drawing/2014/main" id="{00000000-0008-0000-0200-00004D000000}"/>
            </a:ext>
          </a:extLst>
        </xdr:cNvPr>
        <xdr:cNvSpPr/>
      </xdr:nvSpPr>
      <xdr:spPr>
        <a:xfrm>
          <a:off x="16465550" y="9613900"/>
          <a:ext cx="1123950" cy="723900"/>
        </a:xfrm>
        <a:prstGeom prst="flowChartProcess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11</xdr:col>
      <xdr:colOff>38100</xdr:colOff>
      <xdr:row>35</xdr:row>
      <xdr:rowOff>279400</xdr:rowOff>
    </xdr:from>
    <xdr:to>
      <xdr:col>11</xdr:col>
      <xdr:colOff>590550</xdr:colOff>
      <xdr:row>35</xdr:row>
      <xdr:rowOff>298450</xdr:rowOff>
    </xdr:to>
    <xdr:cxnSp macro="">
      <xdr:nvCxnSpPr>
        <xdr:cNvPr id="107" name="106 Conector recto de flecha">
          <a:extLst>
            <a:ext uri="{FF2B5EF4-FFF2-40B4-BE49-F238E27FC236}">
              <a16:creationId xmlns:a16="http://schemas.microsoft.com/office/drawing/2014/main" id="{00000000-0008-0000-0200-00006B000000}"/>
            </a:ext>
          </a:extLst>
        </xdr:cNvPr>
        <xdr:cNvCxnSpPr>
          <a:endCxn id="77" idx="1"/>
        </xdr:cNvCxnSpPr>
      </xdr:nvCxnSpPr>
      <xdr:spPr>
        <a:xfrm>
          <a:off x="15913100" y="9956800"/>
          <a:ext cx="552450" cy="19050"/>
        </a:xfrm>
        <a:prstGeom prst="straightConnector1">
          <a:avLst/>
        </a:prstGeom>
        <a:ln w="28575"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628650</xdr:colOff>
      <xdr:row>31</xdr:row>
      <xdr:rowOff>152400</xdr:rowOff>
    </xdr:from>
    <xdr:to>
      <xdr:col>3</xdr:col>
      <xdr:colOff>466725</xdr:colOff>
      <xdr:row>34</xdr:row>
      <xdr:rowOff>238125</xdr:rowOff>
    </xdr:to>
    <xdr:cxnSp macro="">
      <xdr:nvCxnSpPr>
        <xdr:cNvPr id="3" name="2 Conector recto de flecha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CxnSpPr/>
      </xdr:nvCxnSpPr>
      <xdr:spPr>
        <a:xfrm flipV="1">
          <a:off x="2771775" y="14182725"/>
          <a:ext cx="1371600" cy="1200150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1057275</xdr:colOff>
      <xdr:row>31</xdr:row>
      <xdr:rowOff>190500</xdr:rowOff>
    </xdr:from>
    <xdr:to>
      <xdr:col>3</xdr:col>
      <xdr:colOff>428625</xdr:colOff>
      <xdr:row>32</xdr:row>
      <xdr:rowOff>180975</xdr:rowOff>
    </xdr:to>
    <xdr:cxnSp macro="">
      <xdr:nvCxnSpPr>
        <xdr:cNvPr id="5" name="4 Conector recto de flecha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CxnSpPr/>
      </xdr:nvCxnSpPr>
      <xdr:spPr>
        <a:xfrm>
          <a:off x="3200400" y="14030325"/>
          <a:ext cx="904875" cy="371475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711200</xdr:colOff>
      <xdr:row>160</xdr:row>
      <xdr:rowOff>146728</xdr:rowOff>
    </xdr:from>
    <xdr:to>
      <xdr:col>15</xdr:col>
      <xdr:colOff>66675</xdr:colOff>
      <xdr:row>180</xdr:row>
      <xdr:rowOff>44449</xdr:rowOff>
    </xdr:to>
    <xdr:pic>
      <xdr:nvPicPr>
        <xdr:cNvPr id="3074" name="Picture 2">
          <a:extLst>
            <a:ext uri="{FF2B5EF4-FFF2-40B4-BE49-F238E27FC236}">
              <a16:creationId xmlns:a16="http://schemas.microsoft.com/office/drawing/2014/main" id="{00000000-0008-0000-0500-000002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881100" y="26715128"/>
          <a:ext cx="5197475" cy="3199721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241300</xdr:colOff>
      <xdr:row>127</xdr:row>
      <xdr:rowOff>63500</xdr:rowOff>
    </xdr:from>
    <xdr:to>
      <xdr:col>23</xdr:col>
      <xdr:colOff>600075</xdr:colOff>
      <xdr:row>152</xdr:row>
      <xdr:rowOff>142921</xdr:rowOff>
    </xdr:to>
    <xdr:pic>
      <xdr:nvPicPr>
        <xdr:cNvPr id="6" name="Picture 4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342100" y="19786600"/>
          <a:ext cx="6454775" cy="4206921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1</xdr:colOff>
      <xdr:row>127</xdr:row>
      <xdr:rowOff>0</xdr:rowOff>
    </xdr:from>
    <xdr:to>
      <xdr:col>13</xdr:col>
      <xdr:colOff>12701</xdr:colOff>
      <xdr:row>155</xdr:row>
      <xdr:rowOff>22928</xdr:rowOff>
    </xdr:to>
    <xdr:pic>
      <xdr:nvPicPr>
        <xdr:cNvPr id="4097" name="Picture 1">
          <a:extLst>
            <a:ext uri="{FF2B5EF4-FFF2-40B4-BE49-F238E27FC236}">
              <a16:creationId xmlns:a16="http://schemas.microsoft.com/office/drawing/2014/main" id="{00000000-0008-0000-0500-000001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0883901" y="19558001"/>
          <a:ext cx="6705600" cy="4645728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12700</xdr:colOff>
      <xdr:row>93</xdr:row>
      <xdr:rowOff>165100</xdr:rowOff>
    </xdr:from>
    <xdr:to>
      <xdr:col>15</xdr:col>
      <xdr:colOff>412750</xdr:colOff>
      <xdr:row>108</xdr:row>
      <xdr:rowOff>158750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B08044EA-D913-4117-A2C1-DB2EC074C4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82600" y="15595600"/>
          <a:ext cx="6242050" cy="2495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12700</xdr:colOff>
      <xdr:row>87</xdr:row>
      <xdr:rowOff>63500</xdr:rowOff>
    </xdr:from>
    <xdr:to>
      <xdr:col>15</xdr:col>
      <xdr:colOff>488950</xdr:colOff>
      <xdr:row>93</xdr:row>
      <xdr:rowOff>79375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D1571DCB-0848-478C-8B02-B3CD0B0F9C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82600" y="14478000"/>
          <a:ext cx="6318250" cy="1031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0</xdr:colOff>
      <xdr:row>88</xdr:row>
      <xdr:rowOff>0</xdr:rowOff>
    </xdr:from>
    <xdr:to>
      <xdr:col>23</xdr:col>
      <xdr:colOff>257175</xdr:colOff>
      <xdr:row>103</xdr:row>
      <xdr:rowOff>104775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662CF94C-7BF0-4A93-B93C-91B47B816E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516850" y="14306550"/>
          <a:ext cx="4829175" cy="2590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438150</xdr:colOff>
      <xdr:row>23</xdr:row>
      <xdr:rowOff>57149</xdr:rowOff>
    </xdr:from>
    <xdr:to>
      <xdr:col>12</xdr:col>
      <xdr:colOff>523875</xdr:colOff>
      <xdr:row>45</xdr:row>
      <xdr:rowOff>85724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C9E62A0D-7B96-4743-8DBF-97ED494AE19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8736" t="12540" r="20926" b="5768"/>
        <a:stretch/>
      </xdr:blipFill>
      <xdr:spPr>
        <a:xfrm>
          <a:off x="9324975" y="5191124"/>
          <a:ext cx="3895725" cy="4219575"/>
        </a:xfrm>
        <a:prstGeom prst="rect">
          <a:avLst/>
        </a:prstGeom>
      </xdr:spPr>
    </xdr:pic>
    <xdr:clientData/>
  </xdr:twoCellAnchor>
  <xdr:twoCellAnchor editAs="oneCell">
    <xdr:from>
      <xdr:col>7</xdr:col>
      <xdr:colOff>514350</xdr:colOff>
      <xdr:row>2</xdr:row>
      <xdr:rowOff>285750</xdr:rowOff>
    </xdr:from>
    <xdr:to>
      <xdr:col>12</xdr:col>
      <xdr:colOff>333376</xdr:colOff>
      <xdr:row>19</xdr:row>
      <xdr:rowOff>57150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15F6DF53-0563-458B-BAD8-A92F1B293F8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19675" t="20309" r="31964" b="17020"/>
        <a:stretch/>
      </xdr:blipFill>
      <xdr:spPr>
        <a:xfrm>
          <a:off x="7181850" y="666750"/>
          <a:ext cx="3629026" cy="37623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20</xdr:row>
      <xdr:rowOff>0</xdr:rowOff>
    </xdr:from>
    <xdr:to>
      <xdr:col>4</xdr:col>
      <xdr:colOff>619125</xdr:colOff>
      <xdr:row>41</xdr:row>
      <xdr:rowOff>104775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C7064B77-47B3-4573-A0D3-83781B659A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19325" y="4562475"/>
          <a:ext cx="4181475" cy="410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781049</xdr:colOff>
      <xdr:row>50</xdr:row>
      <xdr:rowOff>12917</xdr:rowOff>
    </xdr:from>
    <xdr:to>
      <xdr:col>4</xdr:col>
      <xdr:colOff>161924</xdr:colOff>
      <xdr:row>60</xdr:row>
      <xdr:rowOff>123825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91FB1A1-4E31-41CF-B029-13F192415D7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5643" t="26944" r="34977" b="22217"/>
        <a:stretch/>
      </xdr:blipFill>
      <xdr:spPr>
        <a:xfrm>
          <a:off x="781049" y="10290392"/>
          <a:ext cx="2943225" cy="2015908"/>
        </a:xfrm>
        <a:prstGeom prst="rect">
          <a:avLst/>
        </a:prstGeom>
      </xdr:spPr>
    </xdr:pic>
    <xdr:clientData/>
  </xdr:twoCellAnchor>
  <xdr:twoCellAnchor editAs="oneCell">
    <xdr:from>
      <xdr:col>4</xdr:col>
      <xdr:colOff>752475</xdr:colOff>
      <xdr:row>51</xdr:row>
      <xdr:rowOff>54927</xdr:rowOff>
    </xdr:from>
    <xdr:to>
      <xdr:col>7</xdr:col>
      <xdr:colOff>476250</xdr:colOff>
      <xdr:row>61</xdr:row>
      <xdr:rowOff>9524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4C16A8E9-AE50-4FB3-A57F-D79ABE2A32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4825" y="10522902"/>
          <a:ext cx="2828925" cy="18595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Carlos%20Paez\Documents\Biblioteca\Calculos%20y%20Planos\BRAC%20201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cuments/2%20Propuesta%20Tecnologias%20Tratamiento%20y%20Piscicultura/Calculos/Bioportadores%2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Carlos%20Paez\Documents\Biblioteca\Calculos%20y%20Planos\SBR-BSA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Carlos%20Paez\Documents\Biblioteca\Calculos%20y%20Planos\BP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l BRAC"/>
      <sheetName val="TANBAC"/>
      <sheetName val="LORBAC"/>
      <sheetName val="Burbujas"/>
      <sheetName val="Aquifas"/>
      <sheetName val="Dimesiones"/>
      <sheetName val="Estruc"/>
      <sheetName val="Param UASB"/>
    </sheetNames>
    <sheetDataSet>
      <sheetData sheetId="0">
        <row r="34">
          <cell r="D34">
            <v>0.14676325608613316</v>
          </cell>
        </row>
        <row r="100">
          <cell r="G100" t="str">
            <v>Tabla B. 6.30 Coeficientes de pérdidas menores para accesorios comunes</v>
          </cell>
        </row>
      </sheetData>
      <sheetData sheetId="1">
        <row r="12">
          <cell r="F12">
            <v>3.1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Bioportadores PP"/>
      <sheetName val="Burbujas"/>
      <sheetName val="Hoja1"/>
      <sheetName val="Conjunto BF"/>
    </sheetNames>
    <sheetDataSet>
      <sheetData sheetId="0">
        <row r="32">
          <cell r="F32">
            <v>15625</v>
          </cell>
        </row>
        <row r="35">
          <cell r="F35">
            <v>605.47590018476353</v>
          </cell>
        </row>
      </sheetData>
      <sheetData sheetId="1"/>
      <sheetData sheetId="2" refreshError="1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p Arena"/>
      <sheetName val="Permeb arena"/>
      <sheetName val="Estruc 5Lps"/>
      <sheetName val="SBR 5lps"/>
      <sheetName val="Sis fluidos"/>
      <sheetName val="SBR datos"/>
      <sheetName val="Secuen"/>
      <sheetName val="Lomb"/>
      <sheetName val="SBR 4MCD"/>
      <sheetName val="Filtro granular"/>
      <sheetName val="Prop CA"/>
      <sheetName val="Flujo Filtro CA"/>
      <sheetName val="Permeab SBR CA"/>
      <sheetName val="SBR Modelo ME"/>
      <sheetName val="SBR 3 Lps"/>
    </sheetNames>
    <sheetDataSet>
      <sheetData sheetId="0" refreshError="1"/>
      <sheetData sheetId="1" refreshError="1"/>
      <sheetData sheetId="2" refreshError="1">
        <row r="3">
          <cell r="C3">
            <v>5</v>
          </cell>
        </row>
        <row r="16">
          <cell r="C16">
            <v>35.64</v>
          </cell>
        </row>
        <row r="25">
          <cell r="C25">
            <v>3.4000000000000004</v>
          </cell>
        </row>
      </sheetData>
      <sheetData sheetId="3" refreshError="1"/>
      <sheetData sheetId="4" refreshError="1"/>
      <sheetData sheetId="5" refreshError="1">
        <row r="38">
          <cell r="C38">
            <v>0.5</v>
          </cell>
        </row>
        <row r="88">
          <cell r="C88">
            <v>0.69260921040385626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>
        <row r="83">
          <cell r="C83">
            <v>0.02</v>
          </cell>
        </row>
      </sheetData>
      <sheetData sheetId="11" refreshError="1"/>
      <sheetData sheetId="12" refreshError="1"/>
      <sheetData sheetId="13" refreshError="1"/>
      <sheetData sheetId="14" refreshError="1">
        <row r="43">
          <cell r="D43">
            <v>2.6666666666666665</v>
          </cell>
        </row>
        <row r="44">
          <cell r="D44">
            <v>1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ltro Granular"/>
      <sheetName val="Filtro Anaerobio"/>
      <sheetName val="FANBAE"/>
      <sheetName val="Fil Zeol"/>
      <sheetName val="Lomb"/>
      <sheetName val="BAF datos"/>
      <sheetName val="Datos costos Filtros"/>
      <sheetName val="Datos FAN "/>
      <sheetName val="AQUIFAS"/>
      <sheetName val="Ef Sistemas"/>
      <sheetName val="Eval "/>
      <sheetName val="Beads"/>
      <sheetName val="BAF acuacul"/>
      <sheetName val="Tub 40cm Obs"/>
      <sheetName val="Ensayo Rejillas"/>
      <sheetName val="Ens Chorro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thermexcel.com/english/tables/eau_atm.htm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www.engineeringtoolbox.com/density-materials-d_1652.html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4FCA36-5EC8-4144-9369-0077501CBDD0}">
  <dimension ref="A1:H96"/>
  <sheetViews>
    <sheetView showGridLines="0" zoomScale="75" zoomScaleNormal="75" workbookViewId="0">
      <selection activeCell="H12" sqref="H12"/>
    </sheetView>
  </sheetViews>
  <sheetFormatPr baseColWidth="10" defaultRowHeight="15" x14ac:dyDescent="0.25"/>
  <cols>
    <col min="1" max="1" width="26.28515625" customWidth="1"/>
    <col min="2" max="2" width="48.28515625" style="293" customWidth="1"/>
    <col min="3" max="3" width="66.140625" customWidth="1"/>
    <col min="4" max="4" width="13.85546875" customWidth="1"/>
    <col min="5" max="5" width="11.85546875" customWidth="1"/>
    <col min="6" max="6" width="12" customWidth="1"/>
    <col min="7" max="7" width="13.85546875" customWidth="1"/>
    <col min="8" max="8" width="15.28515625" customWidth="1"/>
  </cols>
  <sheetData>
    <row r="1" spans="1:8" ht="15.75" x14ac:dyDescent="0.25">
      <c r="C1" s="294" t="s">
        <v>910</v>
      </c>
      <c r="D1" s="295"/>
      <c r="E1" s="296"/>
    </row>
    <row r="2" spans="1:8" x14ac:dyDescent="0.25">
      <c r="C2" s="760" t="s">
        <v>1264</v>
      </c>
      <c r="D2" s="295"/>
      <c r="E2" s="296"/>
    </row>
    <row r="3" spans="1:8" x14ac:dyDescent="0.25">
      <c r="C3" s="761" t="s">
        <v>874</v>
      </c>
      <c r="D3" s="305"/>
      <c r="E3" s="296"/>
    </row>
    <row r="4" spans="1:8" x14ac:dyDescent="0.25">
      <c r="C4" s="762" t="s">
        <v>942</v>
      </c>
      <c r="D4" s="305"/>
      <c r="E4" s="296"/>
    </row>
    <row r="5" spans="1:8" x14ac:dyDescent="0.25">
      <c r="C5" s="763" t="s">
        <v>943</v>
      </c>
      <c r="D5" s="296"/>
      <c r="E5" s="296"/>
    </row>
    <row r="6" spans="1:8" x14ac:dyDescent="0.25">
      <c r="C6" s="764" t="s">
        <v>1265</v>
      </c>
      <c r="D6" s="297"/>
      <c r="E6" s="296"/>
    </row>
    <row r="7" spans="1:8" x14ac:dyDescent="0.25">
      <c r="C7" s="765" t="s">
        <v>945</v>
      </c>
      <c r="D7" s="193"/>
      <c r="E7" s="296"/>
    </row>
    <row r="8" spans="1:8" x14ac:dyDescent="0.25">
      <c r="C8" s="766" t="s">
        <v>852</v>
      </c>
      <c r="D8" s="305"/>
      <c r="E8" s="296"/>
    </row>
    <row r="9" spans="1:8" x14ac:dyDescent="0.25">
      <c r="C9" s="767" t="s">
        <v>946</v>
      </c>
      <c r="D9" s="305"/>
      <c r="E9" s="305"/>
    </row>
    <row r="10" spans="1:8" x14ac:dyDescent="0.25">
      <c r="C10" s="774" t="s">
        <v>947</v>
      </c>
      <c r="D10" s="296"/>
      <c r="E10" s="296"/>
    </row>
    <row r="11" spans="1:8" ht="34.5" customHeight="1" x14ac:dyDescent="0.25">
      <c r="A11" s="647" t="s">
        <v>1297</v>
      </c>
      <c r="B11" s="776" t="s">
        <v>948</v>
      </c>
      <c r="C11" s="306"/>
      <c r="D11" s="18"/>
      <c r="E11" s="18"/>
      <c r="F11" s="176"/>
      <c r="G11" s="647" t="s">
        <v>949</v>
      </c>
      <c r="H11" s="648" t="s">
        <v>950</v>
      </c>
    </row>
    <row r="12" spans="1:8" ht="15.75" x14ac:dyDescent="0.25">
      <c r="A12" s="794"/>
      <c r="C12" s="775" t="s">
        <v>908</v>
      </c>
      <c r="D12" s="308"/>
      <c r="G12" s="715"/>
      <c r="H12" s="716"/>
    </row>
    <row r="13" spans="1:8" ht="15.75" x14ac:dyDescent="0.25">
      <c r="A13" s="795"/>
      <c r="B13" s="307"/>
      <c r="C13" s="658" t="s">
        <v>904</v>
      </c>
      <c r="D13" s="282"/>
      <c r="E13" s="283"/>
      <c r="F13" s="283"/>
      <c r="G13" s="717"/>
      <c r="H13" s="718"/>
    </row>
    <row r="14" spans="1:8" ht="15" customHeight="1" x14ac:dyDescent="0.25">
      <c r="A14" s="16"/>
      <c r="B14" s="788" t="s">
        <v>1132</v>
      </c>
      <c r="C14" s="281" t="s">
        <v>909</v>
      </c>
      <c r="D14" s="269" t="s">
        <v>481</v>
      </c>
      <c r="E14" s="279">
        <f>'Planta USA'!E36</f>
        <v>1.6</v>
      </c>
      <c r="F14" s="271" t="s">
        <v>95</v>
      </c>
      <c r="G14" s="310">
        <f>'Planta USA'!G36</f>
        <v>1.6</v>
      </c>
      <c r="H14" s="311">
        <f t="shared" ref="H14:H24" si="0">G14-E14</f>
        <v>0</v>
      </c>
    </row>
    <row r="15" spans="1:8" ht="15" customHeight="1" x14ac:dyDescent="0.25">
      <c r="A15" s="16"/>
      <c r="B15" s="789" t="s">
        <v>940</v>
      </c>
      <c r="C15" s="281" t="s">
        <v>853</v>
      </c>
      <c r="D15" s="269" t="s">
        <v>79</v>
      </c>
      <c r="E15" s="279">
        <v>9</v>
      </c>
      <c r="F15" s="271" t="s">
        <v>131</v>
      </c>
      <c r="G15" s="312">
        <v>9</v>
      </c>
      <c r="H15" s="311">
        <f t="shared" si="0"/>
        <v>0</v>
      </c>
    </row>
    <row r="16" spans="1:8" ht="15" customHeight="1" x14ac:dyDescent="0.25">
      <c r="A16" s="16"/>
      <c r="B16" s="788"/>
      <c r="C16" s="306" t="s">
        <v>850</v>
      </c>
      <c r="D16" s="273" t="s">
        <v>854</v>
      </c>
      <c r="E16" s="312">
        <f>E15^2/19.6</f>
        <v>4.1326530612244898</v>
      </c>
      <c r="F16" s="313" t="s">
        <v>252</v>
      </c>
      <c r="G16" s="312">
        <f>G15^2/19.6</f>
        <v>4.1326530612244898</v>
      </c>
      <c r="H16" s="311">
        <f t="shared" si="0"/>
        <v>0</v>
      </c>
    </row>
    <row r="17" spans="1:8" ht="15" customHeight="1" x14ac:dyDescent="0.25">
      <c r="A17" s="16"/>
      <c r="B17" s="788"/>
      <c r="C17" s="577" t="s">
        <v>889</v>
      </c>
      <c r="D17" s="578"/>
      <c r="E17" s="579">
        <v>3</v>
      </c>
      <c r="F17" s="580" t="s">
        <v>201</v>
      </c>
      <c r="G17" s="659">
        <v>3</v>
      </c>
      <c r="H17" s="311">
        <f t="shared" si="0"/>
        <v>0</v>
      </c>
    </row>
    <row r="18" spans="1:8" ht="15" customHeight="1" x14ac:dyDescent="0.25">
      <c r="A18" s="16"/>
      <c r="B18" s="788"/>
      <c r="C18" s="577" t="s">
        <v>890</v>
      </c>
      <c r="D18" s="578"/>
      <c r="E18" s="579">
        <v>18</v>
      </c>
      <c r="F18" s="580" t="s">
        <v>201</v>
      </c>
      <c r="G18" s="659">
        <v>18</v>
      </c>
      <c r="H18" s="311">
        <f t="shared" si="0"/>
        <v>0</v>
      </c>
    </row>
    <row r="19" spans="1:8" ht="15" customHeight="1" x14ac:dyDescent="0.25">
      <c r="A19" s="16"/>
      <c r="B19" s="788"/>
      <c r="C19" s="314" t="s">
        <v>855</v>
      </c>
      <c r="D19" s="315" t="s">
        <v>938</v>
      </c>
      <c r="E19" s="316">
        <f>E17*E18</f>
        <v>54</v>
      </c>
      <c r="F19" s="313" t="s">
        <v>201</v>
      </c>
      <c r="G19" s="316">
        <f>G17*G18</f>
        <v>54</v>
      </c>
      <c r="H19" s="311">
        <f t="shared" si="0"/>
        <v>0</v>
      </c>
    </row>
    <row r="20" spans="1:8" ht="15" customHeight="1" x14ac:dyDescent="0.25">
      <c r="A20" s="16"/>
      <c r="B20" s="788"/>
      <c r="C20" s="577" t="s">
        <v>856</v>
      </c>
      <c r="D20" s="581" t="s">
        <v>885</v>
      </c>
      <c r="E20" s="582">
        <f>25.4/8</f>
        <v>3.1749999999999998</v>
      </c>
      <c r="F20" s="583" t="s">
        <v>253</v>
      </c>
      <c r="G20" s="312">
        <f>25.4/8</f>
        <v>3.1749999999999998</v>
      </c>
      <c r="H20" s="311">
        <f t="shared" si="0"/>
        <v>0</v>
      </c>
    </row>
    <row r="21" spans="1:8" ht="15" customHeight="1" x14ac:dyDescent="0.25">
      <c r="A21" s="16"/>
      <c r="B21" s="788"/>
      <c r="C21" s="314" t="s">
        <v>857</v>
      </c>
      <c r="D21" s="315"/>
      <c r="E21" s="278">
        <f>0.25*3.14*E20^2</f>
        <v>7.9132906250000001</v>
      </c>
      <c r="F21" s="313" t="s">
        <v>255</v>
      </c>
      <c r="G21" s="278">
        <f>0.25*3.14*G20^2</f>
        <v>7.9132906250000001</v>
      </c>
      <c r="H21" s="311">
        <f t="shared" si="0"/>
        <v>0</v>
      </c>
    </row>
    <row r="22" spans="1:8" ht="15" customHeight="1" x14ac:dyDescent="0.25">
      <c r="A22" s="16"/>
      <c r="B22" s="788"/>
      <c r="C22" s="301" t="s">
        <v>858</v>
      </c>
      <c r="D22" s="584" t="s">
        <v>468</v>
      </c>
      <c r="E22" s="585">
        <v>0.57999999999999996</v>
      </c>
      <c r="F22" s="586"/>
      <c r="G22" s="312">
        <v>0.57999999999999996</v>
      </c>
      <c r="H22" s="311">
        <f t="shared" si="0"/>
        <v>0</v>
      </c>
    </row>
    <row r="23" spans="1:8" ht="15" customHeight="1" x14ac:dyDescent="0.25">
      <c r="A23" s="16"/>
      <c r="B23" s="788"/>
      <c r="C23" s="314" t="s">
        <v>907</v>
      </c>
      <c r="D23" s="315"/>
      <c r="E23" s="278">
        <f>E22*1000*E15*E21/1000000</f>
        <v>4.1307377062500004E-2</v>
      </c>
      <c r="F23" s="313" t="s">
        <v>64</v>
      </c>
      <c r="G23" s="278">
        <f>G22*1000*G15*G21/1000000</f>
        <v>4.1307377062500004E-2</v>
      </c>
      <c r="H23" s="311">
        <f t="shared" si="0"/>
        <v>0</v>
      </c>
    </row>
    <row r="24" spans="1:8" ht="15" customHeight="1" x14ac:dyDescent="0.25">
      <c r="A24" s="16"/>
      <c r="B24" s="788"/>
      <c r="C24" s="317" t="s">
        <v>859</v>
      </c>
      <c r="D24" s="318" t="s">
        <v>264</v>
      </c>
      <c r="E24" s="319">
        <f>E23*E19</f>
        <v>2.2305983613750002</v>
      </c>
      <c r="F24" s="320" t="s">
        <v>64</v>
      </c>
      <c r="G24" s="278">
        <f>G23*G19</f>
        <v>2.2305983613750002</v>
      </c>
      <c r="H24" s="311">
        <f t="shared" si="0"/>
        <v>0</v>
      </c>
    </row>
    <row r="25" spans="1:8" ht="15" customHeight="1" x14ac:dyDescent="0.25">
      <c r="A25" s="16"/>
      <c r="B25" s="788"/>
      <c r="C25" s="281" t="s">
        <v>140</v>
      </c>
      <c r="D25" s="269"/>
      <c r="E25" s="270">
        <v>500</v>
      </c>
      <c r="F25" s="271" t="s">
        <v>141</v>
      </c>
      <c r="G25" s="322">
        <v>500</v>
      </c>
      <c r="H25" s="311">
        <f t="shared" ref="H25:H49" si="1">G25-E25</f>
        <v>0</v>
      </c>
    </row>
    <row r="26" spans="1:8" ht="15" customHeight="1" x14ac:dyDescent="0.25">
      <c r="A26" s="16"/>
      <c r="B26" s="788"/>
      <c r="C26" s="281" t="s">
        <v>96</v>
      </c>
      <c r="D26" s="269" t="s">
        <v>860</v>
      </c>
      <c r="E26" s="270">
        <v>28</v>
      </c>
      <c r="F26" s="271" t="s">
        <v>138</v>
      </c>
      <c r="G26" s="322">
        <v>28</v>
      </c>
      <c r="H26" s="311">
        <f t="shared" si="1"/>
        <v>0</v>
      </c>
    </row>
    <row r="27" spans="1:8" ht="15" customHeight="1" x14ac:dyDescent="0.25">
      <c r="A27" s="16"/>
      <c r="B27" s="788"/>
      <c r="C27" s="323" t="s">
        <v>148</v>
      </c>
      <c r="D27" s="324" t="s">
        <v>149</v>
      </c>
      <c r="E27" s="325">
        <v>101.33</v>
      </c>
      <c r="F27" s="326" t="s">
        <v>150</v>
      </c>
      <c r="G27" s="276">
        <v>101.33</v>
      </c>
      <c r="H27" s="311">
        <f t="shared" si="1"/>
        <v>0</v>
      </c>
    </row>
    <row r="28" spans="1:8" ht="15" customHeight="1" x14ac:dyDescent="0.25">
      <c r="A28" s="16"/>
      <c r="B28" s="788"/>
      <c r="C28" s="314" t="s">
        <v>151</v>
      </c>
      <c r="D28" s="315"/>
      <c r="E28" s="278">
        <f>-9.81*28.97*E25/(8314*(273.15+E26))</f>
        <v>-5.6753757377251378E-2</v>
      </c>
      <c r="F28" s="313"/>
      <c r="G28" s="278">
        <f>-9.81*28.97*G25/(8314*(273.15+G26))</f>
        <v>-5.6753757377251378E-2</v>
      </c>
      <c r="H28" s="311">
        <f t="shared" si="1"/>
        <v>0</v>
      </c>
    </row>
    <row r="29" spans="1:8" ht="15" customHeight="1" x14ac:dyDescent="0.25">
      <c r="A29" s="16"/>
      <c r="B29" s="788"/>
      <c r="C29" s="314" t="s">
        <v>152</v>
      </c>
      <c r="D29" s="315" t="s">
        <v>579</v>
      </c>
      <c r="E29" s="278">
        <f>E27*EXP(E28)</f>
        <v>95.7392892402342</v>
      </c>
      <c r="F29" s="313" t="s">
        <v>150</v>
      </c>
      <c r="G29" s="278">
        <f>G27*EXP(G28)</f>
        <v>95.7392892402342</v>
      </c>
      <c r="H29" s="311">
        <f t="shared" si="1"/>
        <v>0</v>
      </c>
    </row>
    <row r="30" spans="1:8" ht="15" customHeight="1" x14ac:dyDescent="0.25">
      <c r="A30" s="16"/>
      <c r="B30" s="788"/>
      <c r="C30" s="306" t="s">
        <v>951</v>
      </c>
      <c r="D30" s="587"/>
      <c r="E30" s="312">
        <v>0</v>
      </c>
      <c r="F30" s="313" t="s">
        <v>952</v>
      </c>
      <c r="G30" s="312">
        <v>0</v>
      </c>
      <c r="H30" s="311">
        <f t="shared" si="1"/>
        <v>0</v>
      </c>
    </row>
    <row r="31" spans="1:8" ht="15" customHeight="1" x14ac:dyDescent="0.35">
      <c r="A31" s="16"/>
      <c r="B31" s="788" t="s">
        <v>1131</v>
      </c>
      <c r="C31" s="327" t="s">
        <v>953</v>
      </c>
      <c r="D31" s="328" t="s">
        <v>954</v>
      </c>
      <c r="E31" s="329">
        <f>VLOOKUP(ROUND(E26,0),'Agua-T°C'!B6:G46,6)</f>
        <v>7.81</v>
      </c>
      <c r="F31" s="330" t="s">
        <v>95</v>
      </c>
      <c r="G31" s="216">
        <f>VLOOKUP(ROUND(G26,0),'Agua-T°C'!B6:G46,6)</f>
        <v>7.81</v>
      </c>
      <c r="H31" s="311">
        <f t="shared" si="1"/>
        <v>0</v>
      </c>
    </row>
    <row r="32" spans="1:8" ht="15" customHeight="1" x14ac:dyDescent="0.35">
      <c r="A32" s="16"/>
      <c r="B32" s="788"/>
      <c r="C32" s="331" t="s">
        <v>955</v>
      </c>
      <c r="D32" s="332" t="s">
        <v>956</v>
      </c>
      <c r="E32" s="333">
        <f>E31*EXP(E28)</f>
        <v>7.3790965061307512</v>
      </c>
      <c r="F32" s="334" t="s">
        <v>95</v>
      </c>
      <c r="G32" s="216">
        <f>G31*EXP(G28)</f>
        <v>7.3790965061307512</v>
      </c>
      <c r="H32" s="311">
        <f t="shared" si="1"/>
        <v>0</v>
      </c>
    </row>
    <row r="33" spans="1:8" ht="15" customHeight="1" x14ac:dyDescent="0.25">
      <c r="A33" s="16"/>
      <c r="B33" s="790" t="s">
        <v>1254</v>
      </c>
      <c r="C33" s="336" t="s">
        <v>957</v>
      </c>
      <c r="D33" s="337" t="s">
        <v>958</v>
      </c>
      <c r="E33" s="338">
        <f>2.52*(E15*E20/1000)^0.66</f>
        <v>0.24118564659425204</v>
      </c>
      <c r="F33" s="339" t="s">
        <v>85</v>
      </c>
      <c r="G33" s="340">
        <f>2.52*(G15*G20/1000)^0.66</f>
        <v>0.24118564659425204</v>
      </c>
      <c r="H33" s="311">
        <f>G33-E33</f>
        <v>0</v>
      </c>
    </row>
    <row r="34" spans="1:8" ht="15" customHeight="1" x14ac:dyDescent="0.25">
      <c r="A34" s="16"/>
      <c r="B34" s="788" t="s">
        <v>1132</v>
      </c>
      <c r="C34" s="314" t="s">
        <v>959</v>
      </c>
      <c r="D34" s="315" t="s">
        <v>865</v>
      </c>
      <c r="E34" s="278">
        <f>'Planta USA'!E55</f>
        <v>0.43269923662832743</v>
      </c>
      <c r="F34" s="313" t="s">
        <v>85</v>
      </c>
      <c r="G34" s="278">
        <f>'Planta USA'!G55</f>
        <v>0.43269923662832743</v>
      </c>
      <c r="H34" s="311"/>
    </row>
    <row r="35" spans="1:8" ht="15" customHeight="1" x14ac:dyDescent="0.25">
      <c r="A35" s="16"/>
      <c r="B35" s="788" t="s">
        <v>1263</v>
      </c>
      <c r="C35" s="342" t="s">
        <v>960</v>
      </c>
      <c r="D35" s="237" t="s">
        <v>961</v>
      </c>
      <c r="E35" s="343">
        <f>E33+E34</f>
        <v>0.67388488322257944</v>
      </c>
      <c r="F35" s="245" t="s">
        <v>85</v>
      </c>
      <c r="G35" s="660">
        <f>G33+G34</f>
        <v>0.67388488322257944</v>
      </c>
      <c r="H35" s="311">
        <f t="shared" si="1"/>
        <v>0</v>
      </c>
    </row>
    <row r="36" spans="1:8" ht="15" customHeight="1" x14ac:dyDescent="0.25">
      <c r="A36" s="16"/>
      <c r="B36" s="788"/>
      <c r="C36" s="344"/>
      <c r="D36" s="204"/>
      <c r="E36" s="345">
        <f>E35*9.8</f>
        <v>6.604071855581279</v>
      </c>
      <c r="F36" s="246" t="s">
        <v>150</v>
      </c>
      <c r="G36" s="661">
        <f>G35*9.8</f>
        <v>6.604071855581279</v>
      </c>
      <c r="H36" s="311">
        <f t="shared" si="1"/>
        <v>0</v>
      </c>
    </row>
    <row r="37" spans="1:8" ht="15" customHeight="1" x14ac:dyDescent="0.25">
      <c r="A37" s="16"/>
      <c r="B37" s="790" t="s">
        <v>1223</v>
      </c>
      <c r="C37" s="346" t="s">
        <v>962</v>
      </c>
      <c r="D37" s="347" t="s">
        <v>147</v>
      </c>
      <c r="E37" s="340">
        <f>E32*(E29+E36/2)/E29</f>
        <v>7.6336006075424256</v>
      </c>
      <c r="F37" s="179" t="s">
        <v>95</v>
      </c>
      <c r="G37" s="340">
        <f>G32*(G29+G36/2)/G29</f>
        <v>7.6336006075424256</v>
      </c>
      <c r="H37" s="311">
        <f t="shared" si="1"/>
        <v>0</v>
      </c>
    </row>
    <row r="38" spans="1:8" ht="15" customHeight="1" x14ac:dyDescent="0.25">
      <c r="A38" s="16"/>
      <c r="B38" s="788" t="s">
        <v>1131</v>
      </c>
      <c r="C38" s="348" t="s">
        <v>895</v>
      </c>
      <c r="D38" s="349" t="s">
        <v>963</v>
      </c>
      <c r="E38" s="350">
        <f>'Agua-T°C'!G26</f>
        <v>9.08</v>
      </c>
      <c r="F38" s="351" t="s">
        <v>95</v>
      </c>
      <c r="G38" s="662">
        <f>'Agua-T°C'!G26</f>
        <v>9.08</v>
      </c>
      <c r="H38" s="311">
        <f t="shared" si="1"/>
        <v>0</v>
      </c>
    </row>
    <row r="39" spans="1:8" ht="15" customHeight="1" x14ac:dyDescent="0.25">
      <c r="A39" s="16"/>
      <c r="B39" s="788" t="s">
        <v>1222</v>
      </c>
      <c r="C39" s="352" t="s">
        <v>896</v>
      </c>
      <c r="D39" s="353" t="s">
        <v>897</v>
      </c>
      <c r="E39" s="354">
        <f>9.81*0.001*E23*E16</f>
        <v>1.6746558616139353E-3</v>
      </c>
      <c r="F39" s="355" t="s">
        <v>180</v>
      </c>
      <c r="G39" s="663">
        <f>9.81*0.001*G23*G16</f>
        <v>1.6746558616139353E-3</v>
      </c>
      <c r="H39" s="311">
        <f t="shared" si="1"/>
        <v>0</v>
      </c>
    </row>
    <row r="40" spans="1:8" ht="15" customHeight="1" x14ac:dyDescent="0.25">
      <c r="A40" s="16"/>
      <c r="B40" s="788" t="s">
        <v>1133</v>
      </c>
      <c r="C40" s="356" t="s">
        <v>1221</v>
      </c>
      <c r="D40" s="357" t="s">
        <v>541</v>
      </c>
      <c r="E40" s="358">
        <v>0.5</v>
      </c>
      <c r="F40" s="359" t="s">
        <v>85</v>
      </c>
      <c r="G40" s="216">
        <v>0.5</v>
      </c>
      <c r="H40" s="311">
        <f t="shared" si="1"/>
        <v>0</v>
      </c>
    </row>
    <row r="41" spans="1:8" ht="15" customHeight="1" x14ac:dyDescent="0.35">
      <c r="A41" s="16"/>
      <c r="B41" s="788" t="s">
        <v>1228</v>
      </c>
      <c r="C41" s="190" t="s">
        <v>898</v>
      </c>
      <c r="D41" s="360" t="s">
        <v>899</v>
      </c>
      <c r="E41" s="214">
        <f>1.89*(E39^-0.29)*((0.001*E20)^0.2)*(E40^0.2)</f>
        <v>3.3240391832214002</v>
      </c>
      <c r="F41" s="215" t="s">
        <v>964</v>
      </c>
      <c r="G41" s="216">
        <f>1.89*(G39^-0.29)*((0.001*G20)^0.2)*(G40^0.2)</f>
        <v>3.3240391832214002</v>
      </c>
      <c r="H41" s="311">
        <f t="shared" si="1"/>
        <v>0</v>
      </c>
    </row>
    <row r="42" spans="1:8" ht="15" customHeight="1" x14ac:dyDescent="0.25">
      <c r="A42" s="16"/>
      <c r="B42" s="788"/>
      <c r="C42" s="524" t="s">
        <v>1141</v>
      </c>
      <c r="E42" s="525">
        <f>E34/E35</f>
        <v>0.64209666576748226</v>
      </c>
      <c r="F42" s="191"/>
      <c r="G42" s="525">
        <f>G34/G35</f>
        <v>0.64209666576748226</v>
      </c>
      <c r="H42" s="311">
        <f t="shared" si="1"/>
        <v>0</v>
      </c>
    </row>
    <row r="43" spans="1:8" ht="15" customHeight="1" x14ac:dyDescent="0.25">
      <c r="A43" s="16"/>
      <c r="B43" s="788" t="s">
        <v>1229</v>
      </c>
      <c r="C43" s="327" t="s">
        <v>965</v>
      </c>
      <c r="D43" s="328" t="s">
        <v>966</v>
      </c>
      <c r="E43" s="329">
        <v>2</v>
      </c>
      <c r="F43" s="576"/>
      <c r="G43" s="216">
        <v>2</v>
      </c>
      <c r="H43" s="311">
        <f t="shared" si="1"/>
        <v>0</v>
      </c>
    </row>
    <row r="44" spans="1:8" ht="30" customHeight="1" x14ac:dyDescent="0.25">
      <c r="A44" s="16"/>
      <c r="B44" s="788"/>
      <c r="C44" s="361" t="s">
        <v>967</v>
      </c>
      <c r="D44" s="360" t="s">
        <v>899</v>
      </c>
      <c r="E44" s="362">
        <f>E41*E43</f>
        <v>6.6480783664428005</v>
      </c>
      <c r="F44" s="363" t="s">
        <v>964</v>
      </c>
      <c r="G44" s="719">
        <f>G41*G43</f>
        <v>6.6480783664428005</v>
      </c>
      <c r="H44" s="720">
        <f t="shared" si="1"/>
        <v>0</v>
      </c>
    </row>
    <row r="45" spans="1:8" ht="33" customHeight="1" x14ac:dyDescent="0.25">
      <c r="A45" s="16"/>
      <c r="B45" s="790" t="s">
        <v>1230</v>
      </c>
      <c r="C45" s="361" t="s">
        <v>968</v>
      </c>
      <c r="D45" s="360" t="s">
        <v>939</v>
      </c>
      <c r="E45" s="364">
        <f>E44*E39</f>
        <v>1.1133243404832231E-2</v>
      </c>
      <c r="F45" s="363" t="s">
        <v>279</v>
      </c>
      <c r="G45" s="720">
        <f>G44*G39</f>
        <v>1.1133243404832231E-2</v>
      </c>
      <c r="H45" s="720">
        <f t="shared" si="1"/>
        <v>0</v>
      </c>
    </row>
    <row r="46" spans="1:8" ht="15" customHeight="1" x14ac:dyDescent="0.25">
      <c r="A46" s="16"/>
      <c r="B46" s="790" t="s">
        <v>1224</v>
      </c>
      <c r="C46" s="323" t="s">
        <v>900</v>
      </c>
      <c r="D46" s="324" t="s">
        <v>863</v>
      </c>
      <c r="E46" s="325">
        <v>0.95</v>
      </c>
      <c r="F46" s="326"/>
      <c r="G46" s="276">
        <v>0.95</v>
      </c>
      <c r="H46" s="311">
        <f t="shared" si="1"/>
        <v>0</v>
      </c>
    </row>
    <row r="47" spans="1:8" ht="15" customHeight="1" x14ac:dyDescent="0.25">
      <c r="A47" s="16"/>
      <c r="B47" s="790" t="s">
        <v>1225</v>
      </c>
      <c r="C47" s="323" t="s">
        <v>861</v>
      </c>
      <c r="D47" s="365" t="s">
        <v>862</v>
      </c>
      <c r="E47" s="366">
        <v>0.95</v>
      </c>
      <c r="F47" s="367"/>
      <c r="G47" s="664">
        <v>0.95</v>
      </c>
      <c r="H47" s="311">
        <f t="shared" si="1"/>
        <v>0</v>
      </c>
    </row>
    <row r="48" spans="1:8" ht="15" customHeight="1" x14ac:dyDescent="0.25">
      <c r="A48" s="16"/>
      <c r="B48" s="790" t="s">
        <v>1226</v>
      </c>
      <c r="C48" s="368" t="s">
        <v>901</v>
      </c>
      <c r="D48" s="273" t="s">
        <v>565</v>
      </c>
      <c r="E48" s="278">
        <f>E47*(E46*E37-E14)*(1.024^(E26-20))/E38</f>
        <v>0.71488051545584086</v>
      </c>
      <c r="F48" s="369"/>
      <c r="G48" s="278">
        <f>G47*(G46*G37-G14)*(1.024^(G26-20))/G38</f>
        <v>0.71488051545584086</v>
      </c>
      <c r="H48" s="311">
        <f t="shared" si="1"/>
        <v>0</v>
      </c>
    </row>
    <row r="49" spans="1:8" ht="15" customHeight="1" x14ac:dyDescent="0.25">
      <c r="A49" s="16"/>
      <c r="B49" s="790" t="s">
        <v>1227</v>
      </c>
      <c r="C49" s="190" t="s">
        <v>988</v>
      </c>
      <c r="D49" s="370" t="s">
        <v>902</v>
      </c>
      <c r="E49" s="214">
        <f>E19*E45*E48</f>
        <v>0.42978269433285754</v>
      </c>
      <c r="F49" s="215" t="s">
        <v>903</v>
      </c>
      <c r="G49" s="216">
        <f>G19*G45*G48</f>
        <v>0.42978269433285754</v>
      </c>
      <c r="H49" s="311">
        <f t="shared" si="1"/>
        <v>0</v>
      </c>
    </row>
    <row r="50" spans="1:8" ht="15" customHeight="1" x14ac:dyDescent="0.25">
      <c r="A50" s="16"/>
      <c r="B50" s="788" t="s">
        <v>1132</v>
      </c>
      <c r="C50" s="314" t="s">
        <v>1174</v>
      </c>
      <c r="D50" s="315"/>
      <c r="E50" s="316">
        <f>'Planta USA'!E28</f>
        <v>6</v>
      </c>
      <c r="F50" s="313" t="s">
        <v>201</v>
      </c>
      <c r="G50" s="316">
        <f>'Planta USA'!G28</f>
        <v>6</v>
      </c>
      <c r="H50" s="311">
        <f t="shared" ref="H50:H52" si="2">G50-E50</f>
        <v>0</v>
      </c>
    </row>
    <row r="51" spans="1:8" ht="15" customHeight="1" x14ac:dyDescent="0.25">
      <c r="A51" s="16"/>
      <c r="B51" s="788"/>
      <c r="C51" s="164" t="s">
        <v>1175</v>
      </c>
      <c r="D51" s="228"/>
      <c r="E51" s="238">
        <f>E50*E24</f>
        <v>13.383590168250002</v>
      </c>
      <c r="F51" s="165" t="s">
        <v>64</v>
      </c>
      <c r="G51" s="216">
        <f>G50*G24</f>
        <v>13.383590168250002</v>
      </c>
      <c r="H51" s="311">
        <f t="shared" si="2"/>
        <v>0</v>
      </c>
    </row>
    <row r="52" spans="1:8" ht="15" customHeight="1" x14ac:dyDescent="0.25">
      <c r="A52" s="16"/>
      <c r="B52" s="788"/>
      <c r="C52" s="190" t="s">
        <v>1146</v>
      </c>
      <c r="D52" s="370"/>
      <c r="E52" s="214">
        <f>1000*E49/(3.6*E24)</f>
        <v>53.521101703641328</v>
      </c>
      <c r="F52" s="215" t="s">
        <v>1147</v>
      </c>
      <c r="G52" s="216">
        <f>1000*G49/(3.6*G24)</f>
        <v>53.521101703641328</v>
      </c>
      <c r="H52" s="311">
        <f t="shared" si="2"/>
        <v>0</v>
      </c>
    </row>
    <row r="53" spans="1:8" ht="15" customHeight="1" x14ac:dyDescent="0.25">
      <c r="A53" s="16"/>
      <c r="B53" s="788"/>
      <c r="C53" s="172" t="s">
        <v>846</v>
      </c>
      <c r="D53" s="162"/>
      <c r="E53" s="440">
        <f>E16</f>
        <v>4.1326530612244898</v>
      </c>
      <c r="F53" s="163" t="s">
        <v>85</v>
      </c>
      <c r="G53" s="216">
        <f>G16</f>
        <v>4.1326530612244898</v>
      </c>
      <c r="H53" s="311">
        <f t="shared" ref="H53:H64" si="3">G53-E53</f>
        <v>0</v>
      </c>
    </row>
    <row r="54" spans="1:8" ht="15" customHeight="1" x14ac:dyDescent="0.25">
      <c r="A54" s="16"/>
      <c r="B54" s="788" t="s">
        <v>1133</v>
      </c>
      <c r="C54" s="537" t="s">
        <v>298</v>
      </c>
      <c r="D54" s="183"/>
      <c r="E54" s="264">
        <v>2.6</v>
      </c>
      <c r="F54" s="265" t="s">
        <v>85</v>
      </c>
      <c r="G54" s="216">
        <v>2.6</v>
      </c>
      <c r="H54" s="311">
        <f t="shared" si="3"/>
        <v>0</v>
      </c>
    </row>
    <row r="55" spans="1:8" ht="15" customHeight="1" x14ac:dyDescent="0.25">
      <c r="A55" s="16"/>
      <c r="B55" s="788" t="s">
        <v>1188</v>
      </c>
      <c r="C55" s="160" t="s">
        <v>1177</v>
      </c>
      <c r="D55" s="208"/>
      <c r="E55" s="216">
        <f>'Tubería de Aireación'!E2</f>
        <v>0.31233259564639571</v>
      </c>
      <c r="F55" s="161" t="s">
        <v>85</v>
      </c>
      <c r="G55" s="216">
        <f>'Tubería de Aireación'!G2</f>
        <v>0.31233259564639571</v>
      </c>
      <c r="H55" s="311">
        <f t="shared" si="3"/>
        <v>0</v>
      </c>
    </row>
    <row r="56" spans="1:8" ht="15" customHeight="1" x14ac:dyDescent="0.25">
      <c r="A56" s="16"/>
      <c r="B56" s="788"/>
      <c r="C56" s="562" t="s">
        <v>1000</v>
      </c>
      <c r="D56" s="170"/>
      <c r="E56" s="238">
        <f>SUM(E53:E55)</f>
        <v>7.0449856568708853</v>
      </c>
      <c r="F56" s="165" t="s">
        <v>85</v>
      </c>
      <c r="G56" s="216">
        <f>SUM(G53:G55)</f>
        <v>7.0449856568708853</v>
      </c>
      <c r="H56" s="311">
        <f t="shared" si="3"/>
        <v>0</v>
      </c>
    </row>
    <row r="57" spans="1:8" ht="15" customHeight="1" x14ac:dyDescent="0.25">
      <c r="A57" s="16"/>
      <c r="B57" s="788" t="s">
        <v>1132</v>
      </c>
      <c r="C57" s="160" t="s">
        <v>1017</v>
      </c>
      <c r="D57" s="557"/>
      <c r="E57" s="216">
        <f>'Planta USA'!E26</f>
        <v>2</v>
      </c>
      <c r="F57" s="191" t="s">
        <v>201</v>
      </c>
      <c r="G57" s="255">
        <f>'Planta USA'!G26</f>
        <v>2</v>
      </c>
      <c r="H57" s="311">
        <f t="shared" si="3"/>
        <v>0</v>
      </c>
    </row>
    <row r="58" spans="1:8" ht="15" customHeight="1" x14ac:dyDescent="0.25">
      <c r="A58" s="16"/>
      <c r="B58" s="788"/>
      <c r="C58" s="796" t="s">
        <v>1176</v>
      </c>
      <c r="D58" s="426" t="s">
        <v>207</v>
      </c>
      <c r="E58" s="427" t="s">
        <v>385</v>
      </c>
      <c r="F58" s="427" t="s">
        <v>64</v>
      </c>
      <c r="G58" s="665" t="s">
        <v>64</v>
      </c>
      <c r="H58" s="311"/>
    </row>
    <row r="59" spans="1:8" ht="15" customHeight="1" x14ac:dyDescent="0.25">
      <c r="A59" s="16"/>
      <c r="B59" s="788"/>
      <c r="C59" s="796"/>
      <c r="D59" s="428">
        <f>F59*3.6</f>
        <v>24.090462302850003</v>
      </c>
      <c r="E59" s="429">
        <f>15.84*F59</f>
        <v>105.99803413254001</v>
      </c>
      <c r="F59" s="429">
        <f>E51/E57</f>
        <v>6.6917950841250011</v>
      </c>
      <c r="G59" s="216">
        <f>G51/G57</f>
        <v>6.6917950841250011</v>
      </c>
      <c r="H59" s="311">
        <f>G59-F59</f>
        <v>0</v>
      </c>
    </row>
    <row r="60" spans="1:8" ht="15" customHeight="1" x14ac:dyDescent="0.25">
      <c r="A60" s="16"/>
      <c r="B60" s="788" t="s">
        <v>989</v>
      </c>
      <c r="C60" s="201" t="s">
        <v>300</v>
      </c>
      <c r="D60" s="196"/>
      <c r="E60" s="561">
        <v>0.75</v>
      </c>
      <c r="F60" s="291"/>
      <c r="G60" s="666">
        <v>0.75</v>
      </c>
      <c r="H60" s="311">
        <f t="shared" si="3"/>
        <v>0</v>
      </c>
    </row>
    <row r="61" spans="1:8" ht="15" customHeight="1" x14ac:dyDescent="0.25">
      <c r="A61" s="16"/>
      <c r="B61" s="788"/>
      <c r="C61" s="538" t="s">
        <v>936</v>
      </c>
      <c r="D61" s="170"/>
      <c r="E61" s="238">
        <f>E57*9.81*0.001*F59*E56/E60</f>
        <v>1.233276586107694</v>
      </c>
      <c r="F61" s="425" t="s">
        <v>180</v>
      </c>
      <c r="G61" s="216">
        <f>G57*9.81*0.001*G59*G56/G60</f>
        <v>1.233276586107694</v>
      </c>
      <c r="H61" s="311">
        <f t="shared" si="3"/>
        <v>0</v>
      </c>
    </row>
    <row r="62" spans="1:8" ht="15" customHeight="1" x14ac:dyDescent="0.25">
      <c r="A62" s="16"/>
      <c r="B62" s="788"/>
      <c r="C62" s="160" t="s">
        <v>929</v>
      </c>
      <c r="D62" s="527">
        <f>E62/24</f>
        <v>0.37493692073883139</v>
      </c>
      <c r="E62" s="216">
        <f>'Planta USA'!E44*'Planta USA'!E62/60</f>
        <v>8.9984860977319538</v>
      </c>
      <c r="F62" s="179" t="s">
        <v>100</v>
      </c>
      <c r="G62" s="216">
        <f>'Planta USA'!G44*'Planta USA'!G62/60</f>
        <v>8.9984860977319538</v>
      </c>
      <c r="H62" s="311">
        <f t="shared" si="3"/>
        <v>0</v>
      </c>
    </row>
    <row r="63" spans="1:8" ht="15" customHeight="1" x14ac:dyDescent="0.25">
      <c r="A63" s="16"/>
      <c r="B63" s="788"/>
      <c r="C63" s="190" t="s">
        <v>937</v>
      </c>
      <c r="D63" s="213"/>
      <c r="E63" s="539">
        <f>E61*E62*365</f>
        <v>4050.632108383169</v>
      </c>
      <c r="F63" s="215" t="s">
        <v>1001</v>
      </c>
      <c r="G63" s="667">
        <f>G61*G62*365</f>
        <v>4050.632108383169</v>
      </c>
      <c r="H63" s="311">
        <f t="shared" si="3"/>
        <v>0</v>
      </c>
    </row>
    <row r="64" spans="1:8" ht="15" customHeight="1" x14ac:dyDescent="0.25">
      <c r="A64" s="16"/>
      <c r="B64" s="788"/>
      <c r="C64" s="190" t="s">
        <v>1173</v>
      </c>
      <c r="D64" s="213"/>
      <c r="E64" s="559">
        <f>E63/('Planta USA'!E14*86.4*365)</f>
        <v>0.1070372512996567</v>
      </c>
      <c r="F64" s="215" t="s">
        <v>913</v>
      </c>
      <c r="G64" s="668">
        <f>G63/('Planta USA'!G14*86.4*365)</f>
        <v>0.1070372512996567</v>
      </c>
      <c r="H64" s="311">
        <f t="shared" si="3"/>
        <v>0</v>
      </c>
    </row>
    <row r="65" spans="2:8" ht="15" customHeight="1" x14ac:dyDescent="0.25">
      <c r="B65" s="321"/>
      <c r="C65" s="193"/>
      <c r="D65" s="384"/>
      <c r="E65" s="231"/>
      <c r="F65" s="192"/>
      <c r="G65" s="231"/>
      <c r="H65" s="372"/>
    </row>
    <row r="66" spans="2:8" ht="15" customHeight="1" x14ac:dyDescent="0.25">
      <c r="B66" s="321"/>
      <c r="C66" s="193"/>
      <c r="D66" s="384"/>
      <c r="E66" s="231"/>
      <c r="F66" s="192"/>
      <c r="G66" s="231"/>
      <c r="H66" s="372"/>
    </row>
    <row r="67" spans="2:8" ht="15" customHeight="1" x14ac:dyDescent="0.25">
      <c r="B67" s="321"/>
      <c r="C67" s="193"/>
      <c r="D67" s="384"/>
      <c r="E67" s="231"/>
      <c r="F67" s="192"/>
      <c r="G67" s="231"/>
      <c r="H67" s="372"/>
    </row>
    <row r="68" spans="2:8" ht="15" customHeight="1" x14ac:dyDescent="0.25">
      <c r="B68" s="321"/>
      <c r="C68" s="193"/>
      <c r="D68" s="384"/>
      <c r="E68" s="231"/>
      <c r="F68" s="192"/>
      <c r="G68" s="231"/>
      <c r="H68" s="372"/>
    </row>
    <row r="69" spans="2:8" ht="15" customHeight="1" x14ac:dyDescent="0.25">
      <c r="B69" s="321"/>
      <c r="C69" s="193"/>
      <c r="D69" s="384"/>
      <c r="E69" s="231"/>
      <c r="F69" s="192"/>
      <c r="G69" s="231"/>
      <c r="H69" s="372"/>
    </row>
    <row r="70" spans="2:8" ht="15" customHeight="1" x14ac:dyDescent="0.25">
      <c r="B70" s="321"/>
      <c r="C70" s="193"/>
      <c r="D70" s="384"/>
      <c r="E70" s="231"/>
      <c r="F70" s="192"/>
      <c r="G70" s="231"/>
      <c r="H70" s="372"/>
    </row>
    <row r="71" spans="2:8" ht="15" customHeight="1" x14ac:dyDescent="0.25">
      <c r="B71" s="321"/>
      <c r="C71" s="193"/>
      <c r="D71" s="384"/>
      <c r="E71" s="231"/>
      <c r="F71" s="192"/>
      <c r="G71" s="231"/>
      <c r="H71" s="372"/>
    </row>
    <row r="72" spans="2:8" ht="15" customHeight="1" x14ac:dyDescent="0.25">
      <c r="B72" s="321"/>
      <c r="C72" s="193"/>
      <c r="D72" s="384"/>
      <c r="E72" s="231"/>
      <c r="F72" s="192"/>
      <c r="G72" s="231"/>
      <c r="H72" s="372"/>
    </row>
    <row r="73" spans="2:8" ht="15" customHeight="1" x14ac:dyDescent="0.25">
      <c r="B73" s="321"/>
      <c r="C73" s="193"/>
      <c r="D73" s="384"/>
      <c r="E73" s="231"/>
      <c r="F73" s="192"/>
      <c r="G73" s="231"/>
      <c r="H73" s="372"/>
    </row>
    <row r="74" spans="2:8" ht="15" customHeight="1" x14ac:dyDescent="0.25">
      <c r="B74" s="321"/>
      <c r="C74" s="193"/>
      <c r="D74" s="384"/>
      <c r="E74" s="231"/>
      <c r="F74" s="192"/>
      <c r="G74" s="231"/>
      <c r="H74" s="372"/>
    </row>
    <row r="75" spans="2:8" ht="15" customHeight="1" x14ac:dyDescent="0.25">
      <c r="B75" s="321"/>
      <c r="C75" s="193"/>
      <c r="D75" s="384"/>
      <c r="E75" s="231"/>
      <c r="F75" s="192"/>
      <c r="G75" s="231"/>
      <c r="H75" s="372"/>
    </row>
    <row r="76" spans="2:8" ht="15" customHeight="1" x14ac:dyDescent="0.25">
      <c r="B76" s="321"/>
      <c r="C76" s="193"/>
      <c r="D76" s="384"/>
      <c r="E76" s="231"/>
      <c r="F76" s="192"/>
      <c r="G76" s="231"/>
      <c r="H76" s="372"/>
    </row>
    <row r="77" spans="2:8" ht="15" customHeight="1" x14ac:dyDescent="0.25">
      <c r="B77" s="321"/>
      <c r="C77" s="193"/>
      <c r="D77" s="384"/>
      <c r="E77" s="231"/>
      <c r="F77" s="192"/>
      <c r="G77" s="231"/>
      <c r="H77" s="372"/>
    </row>
    <row r="78" spans="2:8" ht="15" customHeight="1" x14ac:dyDescent="0.25">
      <c r="B78" s="321"/>
      <c r="C78" s="193"/>
      <c r="D78" s="384"/>
      <c r="E78" s="231"/>
      <c r="F78" s="192"/>
      <c r="G78" s="231"/>
      <c r="H78" s="372"/>
    </row>
    <row r="79" spans="2:8" ht="15" customHeight="1" x14ac:dyDescent="0.25">
      <c r="B79" s="321"/>
      <c r="C79" s="193"/>
      <c r="D79" s="384"/>
      <c r="E79" s="231"/>
      <c r="F79" s="192"/>
      <c r="G79" s="231"/>
      <c r="H79" s="372"/>
    </row>
    <row r="80" spans="2:8" ht="15" customHeight="1" x14ac:dyDescent="0.25">
      <c r="B80" s="321"/>
      <c r="C80" s="193"/>
      <c r="D80" s="384"/>
      <c r="E80" s="231"/>
      <c r="F80" s="192"/>
      <c r="G80" s="231"/>
      <c r="H80" s="372"/>
    </row>
    <row r="81" spans="2:8" ht="15" customHeight="1" x14ac:dyDescent="0.25">
      <c r="B81" s="321"/>
      <c r="C81" s="193"/>
      <c r="D81" s="384"/>
      <c r="E81" s="231"/>
      <c r="F81" s="192"/>
      <c r="G81" s="231"/>
      <c r="H81" s="372"/>
    </row>
    <row r="82" spans="2:8" ht="15" customHeight="1" x14ac:dyDescent="0.25">
      <c r="B82" s="321"/>
      <c r="C82" s="193"/>
      <c r="D82" s="384"/>
      <c r="E82" s="231"/>
      <c r="F82" s="192"/>
      <c r="G82" s="231"/>
      <c r="H82" s="372"/>
    </row>
    <row r="83" spans="2:8" ht="15" customHeight="1" x14ac:dyDescent="0.25">
      <c r="B83" s="321"/>
      <c r="C83" s="193"/>
      <c r="D83" s="384"/>
      <c r="E83" s="231"/>
      <c r="F83" s="192"/>
      <c r="G83" s="231"/>
      <c r="H83" s="372"/>
    </row>
    <row r="84" spans="2:8" ht="15" customHeight="1" x14ac:dyDescent="0.25">
      <c r="B84" s="321"/>
      <c r="C84" s="193"/>
      <c r="D84" s="384"/>
      <c r="E84" s="231"/>
      <c r="F84" s="192"/>
      <c r="G84" s="231"/>
      <c r="H84" s="372"/>
    </row>
    <row r="85" spans="2:8" ht="15" customHeight="1" x14ac:dyDescent="0.25">
      <c r="B85" s="321"/>
      <c r="C85" s="193"/>
      <c r="D85" s="384"/>
      <c r="E85" s="231"/>
      <c r="F85" s="192"/>
      <c r="G85" s="231"/>
      <c r="H85" s="372"/>
    </row>
    <row r="87" spans="2:8" ht="15.75" customHeight="1" x14ac:dyDescent="0.25">
      <c r="B87" s="800" t="s">
        <v>969</v>
      </c>
      <c r="C87" s="801"/>
    </row>
    <row r="88" spans="2:8" ht="15" customHeight="1" x14ac:dyDescent="0.25">
      <c r="B88" s="797" t="s">
        <v>970</v>
      </c>
      <c r="C88" s="798"/>
    </row>
    <row r="89" spans="2:8" x14ac:dyDescent="0.25">
      <c r="B89" s="371"/>
      <c r="C89" s="154"/>
    </row>
    <row r="90" spans="2:8" ht="15" customHeight="1" x14ac:dyDescent="0.25">
      <c r="B90" s="797" t="s">
        <v>971</v>
      </c>
      <c r="C90" s="798"/>
      <c r="D90" s="799"/>
      <c r="E90" s="799"/>
    </row>
    <row r="91" spans="2:8" ht="15" customHeight="1" x14ac:dyDescent="0.25">
      <c r="B91" s="797" t="s">
        <v>972</v>
      </c>
      <c r="C91" s="798"/>
      <c r="D91" s="799"/>
      <c r="E91" s="799"/>
    </row>
    <row r="92" spans="2:8" ht="15" customHeight="1" x14ac:dyDescent="0.25">
      <c r="B92" s="797" t="s">
        <v>973</v>
      </c>
      <c r="C92" s="798"/>
      <c r="D92" s="799"/>
      <c r="E92" s="799"/>
    </row>
    <row r="93" spans="2:8" x14ac:dyDescent="0.25">
      <c r="B93" s="797"/>
      <c r="C93" s="798"/>
    </row>
    <row r="94" spans="2:8" ht="15" customHeight="1" x14ac:dyDescent="0.25">
      <c r="B94" s="797" t="s">
        <v>974</v>
      </c>
      <c r="C94" s="798"/>
      <c r="D94" s="799"/>
      <c r="E94" s="799"/>
    </row>
    <row r="95" spans="2:8" ht="15" customHeight="1" x14ac:dyDescent="0.25">
      <c r="B95" s="797" t="s">
        <v>975</v>
      </c>
      <c r="C95" s="798"/>
      <c r="D95" s="799"/>
      <c r="E95" s="799"/>
    </row>
    <row r="96" spans="2:8" ht="15" customHeight="1" x14ac:dyDescent="0.25">
      <c r="B96" s="797" t="s">
        <v>976</v>
      </c>
      <c r="C96" s="798"/>
      <c r="D96" s="799"/>
      <c r="E96" s="799"/>
    </row>
  </sheetData>
  <mergeCells count="10">
    <mergeCell ref="C58:C59"/>
    <mergeCell ref="B94:E94"/>
    <mergeCell ref="B95:E95"/>
    <mergeCell ref="B96:E96"/>
    <mergeCell ref="B87:C87"/>
    <mergeCell ref="B88:C88"/>
    <mergeCell ref="B90:E90"/>
    <mergeCell ref="B91:E91"/>
    <mergeCell ref="B92:E92"/>
    <mergeCell ref="B93:C93"/>
  </mergeCells>
  <pageMargins left="0.7" right="0.7" top="0.75" bottom="0.75" header="0.3" footer="0.3"/>
  <pageSetup paperSize="9" orientation="portrait" horizontalDpi="0" verticalDpi="0" r:id="rId1"/>
  <ignoredErrors>
    <ignoredError sqref="E63:E64" unlocked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3:L37"/>
  <sheetViews>
    <sheetView showGridLines="0" topLeftCell="A7" workbookViewId="0">
      <selection activeCell="A26" sqref="A26"/>
    </sheetView>
  </sheetViews>
  <sheetFormatPr baseColWidth="10" defaultRowHeight="15" x14ac:dyDescent="0.25"/>
  <cols>
    <col min="1" max="1" width="19.85546875" customWidth="1"/>
    <col min="2" max="2" width="12.28515625" style="14" customWidth="1"/>
    <col min="3" max="3" width="23" style="1" customWidth="1"/>
    <col min="4" max="4" width="21" customWidth="1"/>
    <col min="5" max="5" width="13.140625" customWidth="1"/>
  </cols>
  <sheetData>
    <row r="3" spans="1:12" ht="30" x14ac:dyDescent="0.25">
      <c r="A3" s="153" t="s">
        <v>767</v>
      </c>
      <c r="B3" s="155" t="s">
        <v>768</v>
      </c>
      <c r="C3" s="154" t="s">
        <v>769</v>
      </c>
      <c r="D3" t="s">
        <v>770</v>
      </c>
    </row>
    <row r="4" spans="1:12" ht="75" x14ac:dyDescent="0.25">
      <c r="A4" s="154" t="s">
        <v>761</v>
      </c>
      <c r="B4" s="155" t="s">
        <v>763</v>
      </c>
      <c r="C4" s="154" t="s">
        <v>765</v>
      </c>
    </row>
    <row r="5" spans="1:12" ht="75" x14ac:dyDescent="0.25">
      <c r="A5" s="154"/>
      <c r="B5" s="155" t="s">
        <v>764</v>
      </c>
      <c r="C5" s="154" t="s">
        <v>762</v>
      </c>
    </row>
    <row r="6" spans="1:12" ht="60" x14ac:dyDescent="0.25">
      <c r="A6" s="154" t="s">
        <v>766</v>
      </c>
      <c r="B6" s="155" t="s">
        <v>763</v>
      </c>
      <c r="C6" s="154" t="s">
        <v>774</v>
      </c>
    </row>
    <row r="7" spans="1:12" ht="30" x14ac:dyDescent="0.25">
      <c r="A7" s="154"/>
      <c r="B7" s="155"/>
      <c r="C7" s="154" t="s">
        <v>775</v>
      </c>
    </row>
    <row r="8" spans="1:12" ht="45" x14ac:dyDescent="0.25">
      <c r="A8" s="154"/>
      <c r="B8" s="155"/>
      <c r="C8" s="154" t="s">
        <v>780</v>
      </c>
    </row>
    <row r="9" spans="1:12" ht="75" x14ac:dyDescent="0.25">
      <c r="A9" s="154" t="s">
        <v>779</v>
      </c>
      <c r="B9" s="155" t="s">
        <v>764</v>
      </c>
      <c r="C9" s="154" t="s">
        <v>765</v>
      </c>
    </row>
    <row r="10" spans="1:12" x14ac:dyDescent="0.25">
      <c r="A10" s="154"/>
      <c r="B10" s="155"/>
      <c r="C10" s="154"/>
      <c r="E10" t="s">
        <v>781</v>
      </c>
      <c r="L10" t="s">
        <v>782</v>
      </c>
    </row>
    <row r="11" spans="1:12" x14ac:dyDescent="0.25">
      <c r="A11" s="154"/>
      <c r="B11" s="155"/>
      <c r="C11" s="154"/>
      <c r="E11" t="s">
        <v>783</v>
      </c>
    </row>
    <row r="12" spans="1:12" x14ac:dyDescent="0.25">
      <c r="A12" s="154"/>
      <c r="B12" s="155"/>
      <c r="C12" s="154"/>
    </row>
    <row r="13" spans="1:12" x14ac:dyDescent="0.25">
      <c r="A13" s="154"/>
      <c r="B13" s="155"/>
      <c r="C13" s="154"/>
    </row>
    <row r="14" spans="1:12" x14ac:dyDescent="0.25">
      <c r="A14" s="154"/>
      <c r="B14" s="155"/>
      <c r="C14" s="154"/>
    </row>
    <row r="15" spans="1:12" x14ac:dyDescent="0.25">
      <c r="A15" s="154"/>
      <c r="B15" s="155"/>
      <c r="C15" s="154"/>
    </row>
    <row r="16" spans="1:12" x14ac:dyDescent="0.25">
      <c r="A16" s="154"/>
      <c r="B16" s="155"/>
      <c r="C16" s="154"/>
    </row>
    <row r="17" spans="1:5" ht="30" x14ac:dyDescent="0.25">
      <c r="A17" s="157" t="s">
        <v>773</v>
      </c>
      <c r="B17" s="157" t="s">
        <v>788</v>
      </c>
      <c r="C17" s="152" t="s">
        <v>789</v>
      </c>
    </row>
    <row r="18" spans="1:5" ht="30" x14ac:dyDescent="0.25">
      <c r="A18" s="157" t="s">
        <v>773</v>
      </c>
      <c r="B18" s="157" t="s">
        <v>784</v>
      </c>
      <c r="C18" s="152" t="s">
        <v>805</v>
      </c>
    </row>
    <row r="19" spans="1:5" x14ac:dyDescent="0.25">
      <c r="A19" s="157" t="s">
        <v>773</v>
      </c>
      <c r="B19" s="157" t="s">
        <v>776</v>
      </c>
      <c r="C19" s="152" t="s">
        <v>365</v>
      </c>
    </row>
    <row r="20" spans="1:5" ht="30" x14ac:dyDescent="0.25">
      <c r="A20" s="157" t="s">
        <v>773</v>
      </c>
      <c r="B20" s="157" t="s">
        <v>777</v>
      </c>
      <c r="C20" s="152" t="s">
        <v>771</v>
      </c>
    </row>
    <row r="21" spans="1:5" ht="45" x14ac:dyDescent="0.25">
      <c r="A21" s="157" t="s">
        <v>773</v>
      </c>
      <c r="B21" s="157" t="s">
        <v>778</v>
      </c>
      <c r="C21" s="152" t="s">
        <v>772</v>
      </c>
    </row>
    <row r="22" spans="1:5" x14ac:dyDescent="0.25">
      <c r="A22" s="153"/>
      <c r="B22" s="155"/>
      <c r="C22" s="154"/>
    </row>
    <row r="23" spans="1:5" ht="75" x14ac:dyDescent="0.25">
      <c r="A23" s="154" t="s">
        <v>761</v>
      </c>
      <c r="B23" s="155" t="s">
        <v>763</v>
      </c>
      <c r="C23" s="154" t="s">
        <v>765</v>
      </c>
    </row>
    <row r="24" spans="1:5" ht="75" x14ac:dyDescent="0.25">
      <c r="A24" s="154"/>
      <c r="B24" s="155" t="s">
        <v>764</v>
      </c>
      <c r="C24" s="154" t="s">
        <v>762</v>
      </c>
    </row>
    <row r="25" spans="1:5" ht="75" x14ac:dyDescent="0.25">
      <c r="A25" s="154" t="s">
        <v>785</v>
      </c>
      <c r="B25" s="155" t="s">
        <v>764</v>
      </c>
      <c r="C25" s="154" t="s">
        <v>765</v>
      </c>
    </row>
    <row r="26" spans="1:5" ht="75" x14ac:dyDescent="0.25">
      <c r="A26" s="154"/>
      <c r="B26" s="155" t="s">
        <v>763</v>
      </c>
      <c r="C26" s="154" t="s">
        <v>762</v>
      </c>
    </row>
    <row r="27" spans="1:5" ht="24.75" customHeight="1" x14ac:dyDescent="0.25">
      <c r="A27" s="841" t="s">
        <v>799</v>
      </c>
      <c r="B27" s="841"/>
      <c r="C27" s="841"/>
      <c r="D27" s="841"/>
      <c r="E27" s="841"/>
    </row>
    <row r="28" spans="1:5" ht="30" x14ac:dyDescent="0.25">
      <c r="A28" s="156" t="s">
        <v>786</v>
      </c>
      <c r="B28" s="152" t="s">
        <v>787</v>
      </c>
      <c r="C28" s="152" t="s">
        <v>795</v>
      </c>
      <c r="D28" s="152" t="s">
        <v>790</v>
      </c>
      <c r="E28" s="152" t="s">
        <v>801</v>
      </c>
    </row>
    <row r="29" spans="1:5" ht="30" x14ac:dyDescent="0.25">
      <c r="A29" s="156" t="s">
        <v>813</v>
      </c>
      <c r="B29" s="157">
        <v>0</v>
      </c>
      <c r="C29" s="156" t="s">
        <v>810</v>
      </c>
      <c r="D29" s="156" t="s">
        <v>800</v>
      </c>
      <c r="E29" s="157" t="s">
        <v>788</v>
      </c>
    </row>
    <row r="30" spans="1:5" ht="45" x14ac:dyDescent="0.25">
      <c r="A30" s="156" t="s">
        <v>791</v>
      </c>
      <c r="B30" s="157">
        <v>0</v>
      </c>
      <c r="C30" s="156" t="s">
        <v>810</v>
      </c>
      <c r="D30" s="156" t="s">
        <v>808</v>
      </c>
      <c r="E30" s="157" t="s">
        <v>792</v>
      </c>
    </row>
    <row r="31" spans="1:5" x14ac:dyDescent="0.25">
      <c r="A31" s="156" t="s">
        <v>793</v>
      </c>
      <c r="B31" s="157">
        <v>0</v>
      </c>
      <c r="C31" s="156" t="s">
        <v>810</v>
      </c>
      <c r="D31" s="156" t="s">
        <v>800</v>
      </c>
      <c r="E31" s="157" t="s">
        <v>794</v>
      </c>
    </row>
    <row r="32" spans="1:5" ht="51.75" customHeight="1" x14ac:dyDescent="0.25">
      <c r="A32" s="156" t="s">
        <v>796</v>
      </c>
      <c r="B32" s="157" t="s">
        <v>797</v>
      </c>
      <c r="C32" s="156" t="s">
        <v>811</v>
      </c>
      <c r="D32" s="156" t="s">
        <v>814</v>
      </c>
      <c r="E32" s="157" t="s">
        <v>798</v>
      </c>
    </row>
    <row r="33" spans="1:5" ht="27.75" customHeight="1" x14ac:dyDescent="0.25">
      <c r="A33" s="842" t="s">
        <v>809</v>
      </c>
      <c r="B33" s="845" t="s">
        <v>798</v>
      </c>
      <c r="C33" s="156" t="s">
        <v>806</v>
      </c>
      <c r="D33" s="848" t="s">
        <v>812</v>
      </c>
      <c r="E33" s="16"/>
    </row>
    <row r="34" spans="1:5" ht="30" x14ac:dyDescent="0.25">
      <c r="A34" s="843"/>
      <c r="B34" s="846"/>
      <c r="C34" s="156" t="s">
        <v>807</v>
      </c>
      <c r="D34" s="849"/>
      <c r="E34" s="16"/>
    </row>
    <row r="35" spans="1:5" ht="30" x14ac:dyDescent="0.25">
      <c r="A35" s="844"/>
      <c r="B35" s="847"/>
      <c r="C35" s="156" t="s">
        <v>815</v>
      </c>
      <c r="D35" s="850"/>
      <c r="E35" s="16"/>
    </row>
    <row r="36" spans="1:5" ht="30" x14ac:dyDescent="0.25">
      <c r="A36" s="156" t="s">
        <v>802</v>
      </c>
      <c r="B36" s="152">
        <v>0</v>
      </c>
      <c r="C36" s="152" t="s">
        <v>804</v>
      </c>
      <c r="D36" s="158" t="s">
        <v>800</v>
      </c>
      <c r="E36" s="157" t="s">
        <v>803</v>
      </c>
    </row>
    <row r="37" spans="1:5" x14ac:dyDescent="0.25">
      <c r="A37" s="154"/>
      <c r="B37" s="155"/>
      <c r="C37" s="154"/>
    </row>
  </sheetData>
  <mergeCells count="4">
    <mergeCell ref="A27:E27"/>
    <mergeCell ref="A33:A35"/>
    <mergeCell ref="B33:B35"/>
    <mergeCell ref="D33:D35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I36"/>
  <sheetViews>
    <sheetView topLeftCell="A6" zoomScale="75" zoomScaleNormal="75" workbookViewId="0">
      <selection activeCell="A23" sqref="A23"/>
    </sheetView>
  </sheetViews>
  <sheetFormatPr baseColWidth="10" defaultRowHeight="15" x14ac:dyDescent="0.25"/>
  <cols>
    <col min="1" max="1" width="12.85546875" style="2" customWidth="1"/>
    <col min="2" max="2" width="10.5703125" style="2" customWidth="1"/>
    <col min="3" max="3" width="23.140625" style="1" customWidth="1"/>
    <col min="4" max="4" width="16.7109375" style="1" customWidth="1"/>
    <col min="5" max="5" width="17.7109375" style="1" customWidth="1"/>
    <col min="6" max="6" width="26" style="1" customWidth="1"/>
    <col min="7" max="7" width="16.85546875" style="2" customWidth="1"/>
    <col min="8" max="8" width="10.42578125" style="1" customWidth="1"/>
    <col min="9" max="9" width="9.85546875" style="1" customWidth="1"/>
    <col min="10" max="256" width="11.42578125" style="1"/>
    <col min="257" max="257" width="12.85546875" style="1" customWidth="1"/>
    <col min="258" max="258" width="10.5703125" style="1" customWidth="1"/>
    <col min="259" max="259" width="23.140625" style="1" customWidth="1"/>
    <col min="260" max="260" width="16.7109375" style="1" customWidth="1"/>
    <col min="261" max="261" width="17.7109375" style="1" customWidth="1"/>
    <col min="262" max="262" width="26" style="1" customWidth="1"/>
    <col min="263" max="263" width="16.85546875" style="1" customWidth="1"/>
    <col min="264" max="264" width="10.42578125" style="1" customWidth="1"/>
    <col min="265" max="265" width="9.85546875" style="1" customWidth="1"/>
    <col min="266" max="512" width="11.42578125" style="1"/>
    <col min="513" max="513" width="12.85546875" style="1" customWidth="1"/>
    <col min="514" max="514" width="10.5703125" style="1" customWidth="1"/>
    <col min="515" max="515" width="23.140625" style="1" customWidth="1"/>
    <col min="516" max="516" width="16.7109375" style="1" customWidth="1"/>
    <col min="517" max="517" width="17.7109375" style="1" customWidth="1"/>
    <col min="518" max="518" width="26" style="1" customWidth="1"/>
    <col min="519" max="519" width="16.85546875" style="1" customWidth="1"/>
    <col min="520" max="520" width="10.42578125" style="1" customWidth="1"/>
    <col min="521" max="521" width="9.85546875" style="1" customWidth="1"/>
    <col min="522" max="768" width="11.42578125" style="1"/>
    <col min="769" max="769" width="12.85546875" style="1" customWidth="1"/>
    <col min="770" max="770" width="10.5703125" style="1" customWidth="1"/>
    <col min="771" max="771" width="23.140625" style="1" customWidth="1"/>
    <col min="772" max="772" width="16.7109375" style="1" customWidth="1"/>
    <col min="773" max="773" width="17.7109375" style="1" customWidth="1"/>
    <col min="774" max="774" width="26" style="1" customWidth="1"/>
    <col min="775" max="775" width="16.85546875" style="1" customWidth="1"/>
    <col min="776" max="776" width="10.42578125" style="1" customWidth="1"/>
    <col min="777" max="777" width="9.85546875" style="1" customWidth="1"/>
    <col min="778" max="1024" width="11.42578125" style="1"/>
    <col min="1025" max="1025" width="12.85546875" style="1" customWidth="1"/>
    <col min="1026" max="1026" width="10.5703125" style="1" customWidth="1"/>
    <col min="1027" max="1027" width="23.140625" style="1" customWidth="1"/>
    <col min="1028" max="1028" width="16.7109375" style="1" customWidth="1"/>
    <col min="1029" max="1029" width="17.7109375" style="1" customWidth="1"/>
    <col min="1030" max="1030" width="26" style="1" customWidth="1"/>
    <col min="1031" max="1031" width="16.85546875" style="1" customWidth="1"/>
    <col min="1032" max="1032" width="10.42578125" style="1" customWidth="1"/>
    <col min="1033" max="1033" width="9.85546875" style="1" customWidth="1"/>
    <col min="1034" max="1280" width="11.42578125" style="1"/>
    <col min="1281" max="1281" width="12.85546875" style="1" customWidth="1"/>
    <col min="1282" max="1282" width="10.5703125" style="1" customWidth="1"/>
    <col min="1283" max="1283" width="23.140625" style="1" customWidth="1"/>
    <col min="1284" max="1284" width="16.7109375" style="1" customWidth="1"/>
    <col min="1285" max="1285" width="17.7109375" style="1" customWidth="1"/>
    <col min="1286" max="1286" width="26" style="1" customWidth="1"/>
    <col min="1287" max="1287" width="16.85546875" style="1" customWidth="1"/>
    <col min="1288" max="1288" width="10.42578125" style="1" customWidth="1"/>
    <col min="1289" max="1289" width="9.85546875" style="1" customWidth="1"/>
    <col min="1290" max="1536" width="11.42578125" style="1"/>
    <col min="1537" max="1537" width="12.85546875" style="1" customWidth="1"/>
    <col min="1538" max="1538" width="10.5703125" style="1" customWidth="1"/>
    <col min="1539" max="1539" width="23.140625" style="1" customWidth="1"/>
    <col min="1540" max="1540" width="16.7109375" style="1" customWidth="1"/>
    <col min="1541" max="1541" width="17.7109375" style="1" customWidth="1"/>
    <col min="1542" max="1542" width="26" style="1" customWidth="1"/>
    <col min="1543" max="1543" width="16.85546875" style="1" customWidth="1"/>
    <col min="1544" max="1544" width="10.42578125" style="1" customWidth="1"/>
    <col min="1545" max="1545" width="9.85546875" style="1" customWidth="1"/>
    <col min="1546" max="1792" width="11.42578125" style="1"/>
    <col min="1793" max="1793" width="12.85546875" style="1" customWidth="1"/>
    <col min="1794" max="1794" width="10.5703125" style="1" customWidth="1"/>
    <col min="1795" max="1795" width="23.140625" style="1" customWidth="1"/>
    <col min="1796" max="1796" width="16.7109375" style="1" customWidth="1"/>
    <col min="1797" max="1797" width="17.7109375" style="1" customWidth="1"/>
    <col min="1798" max="1798" width="26" style="1" customWidth="1"/>
    <col min="1799" max="1799" width="16.85546875" style="1" customWidth="1"/>
    <col min="1800" max="1800" width="10.42578125" style="1" customWidth="1"/>
    <col min="1801" max="1801" width="9.85546875" style="1" customWidth="1"/>
    <col min="1802" max="2048" width="11.42578125" style="1"/>
    <col min="2049" max="2049" width="12.85546875" style="1" customWidth="1"/>
    <col min="2050" max="2050" width="10.5703125" style="1" customWidth="1"/>
    <col min="2051" max="2051" width="23.140625" style="1" customWidth="1"/>
    <col min="2052" max="2052" width="16.7109375" style="1" customWidth="1"/>
    <col min="2053" max="2053" width="17.7109375" style="1" customWidth="1"/>
    <col min="2054" max="2054" width="26" style="1" customWidth="1"/>
    <col min="2055" max="2055" width="16.85546875" style="1" customWidth="1"/>
    <col min="2056" max="2056" width="10.42578125" style="1" customWidth="1"/>
    <col min="2057" max="2057" width="9.85546875" style="1" customWidth="1"/>
    <col min="2058" max="2304" width="11.42578125" style="1"/>
    <col min="2305" max="2305" width="12.85546875" style="1" customWidth="1"/>
    <col min="2306" max="2306" width="10.5703125" style="1" customWidth="1"/>
    <col min="2307" max="2307" width="23.140625" style="1" customWidth="1"/>
    <col min="2308" max="2308" width="16.7109375" style="1" customWidth="1"/>
    <col min="2309" max="2309" width="17.7109375" style="1" customWidth="1"/>
    <col min="2310" max="2310" width="26" style="1" customWidth="1"/>
    <col min="2311" max="2311" width="16.85546875" style="1" customWidth="1"/>
    <col min="2312" max="2312" width="10.42578125" style="1" customWidth="1"/>
    <col min="2313" max="2313" width="9.85546875" style="1" customWidth="1"/>
    <col min="2314" max="2560" width="11.42578125" style="1"/>
    <col min="2561" max="2561" width="12.85546875" style="1" customWidth="1"/>
    <col min="2562" max="2562" width="10.5703125" style="1" customWidth="1"/>
    <col min="2563" max="2563" width="23.140625" style="1" customWidth="1"/>
    <col min="2564" max="2564" width="16.7109375" style="1" customWidth="1"/>
    <col min="2565" max="2565" width="17.7109375" style="1" customWidth="1"/>
    <col min="2566" max="2566" width="26" style="1" customWidth="1"/>
    <col min="2567" max="2567" width="16.85546875" style="1" customWidth="1"/>
    <col min="2568" max="2568" width="10.42578125" style="1" customWidth="1"/>
    <col min="2569" max="2569" width="9.85546875" style="1" customWidth="1"/>
    <col min="2570" max="2816" width="11.42578125" style="1"/>
    <col min="2817" max="2817" width="12.85546875" style="1" customWidth="1"/>
    <col min="2818" max="2818" width="10.5703125" style="1" customWidth="1"/>
    <col min="2819" max="2819" width="23.140625" style="1" customWidth="1"/>
    <col min="2820" max="2820" width="16.7109375" style="1" customWidth="1"/>
    <col min="2821" max="2821" width="17.7109375" style="1" customWidth="1"/>
    <col min="2822" max="2822" width="26" style="1" customWidth="1"/>
    <col min="2823" max="2823" width="16.85546875" style="1" customWidth="1"/>
    <col min="2824" max="2824" width="10.42578125" style="1" customWidth="1"/>
    <col min="2825" max="2825" width="9.85546875" style="1" customWidth="1"/>
    <col min="2826" max="3072" width="11.42578125" style="1"/>
    <col min="3073" max="3073" width="12.85546875" style="1" customWidth="1"/>
    <col min="3074" max="3074" width="10.5703125" style="1" customWidth="1"/>
    <col min="3075" max="3075" width="23.140625" style="1" customWidth="1"/>
    <col min="3076" max="3076" width="16.7109375" style="1" customWidth="1"/>
    <col min="3077" max="3077" width="17.7109375" style="1" customWidth="1"/>
    <col min="3078" max="3078" width="26" style="1" customWidth="1"/>
    <col min="3079" max="3079" width="16.85546875" style="1" customWidth="1"/>
    <col min="3080" max="3080" width="10.42578125" style="1" customWidth="1"/>
    <col min="3081" max="3081" width="9.85546875" style="1" customWidth="1"/>
    <col min="3082" max="3328" width="11.42578125" style="1"/>
    <col min="3329" max="3329" width="12.85546875" style="1" customWidth="1"/>
    <col min="3330" max="3330" width="10.5703125" style="1" customWidth="1"/>
    <col min="3331" max="3331" width="23.140625" style="1" customWidth="1"/>
    <col min="3332" max="3332" width="16.7109375" style="1" customWidth="1"/>
    <col min="3333" max="3333" width="17.7109375" style="1" customWidth="1"/>
    <col min="3334" max="3334" width="26" style="1" customWidth="1"/>
    <col min="3335" max="3335" width="16.85546875" style="1" customWidth="1"/>
    <col min="3336" max="3336" width="10.42578125" style="1" customWidth="1"/>
    <col min="3337" max="3337" width="9.85546875" style="1" customWidth="1"/>
    <col min="3338" max="3584" width="11.42578125" style="1"/>
    <col min="3585" max="3585" width="12.85546875" style="1" customWidth="1"/>
    <col min="3586" max="3586" width="10.5703125" style="1" customWidth="1"/>
    <col min="3587" max="3587" width="23.140625" style="1" customWidth="1"/>
    <col min="3588" max="3588" width="16.7109375" style="1" customWidth="1"/>
    <col min="3589" max="3589" width="17.7109375" style="1" customWidth="1"/>
    <col min="3590" max="3590" width="26" style="1" customWidth="1"/>
    <col min="3591" max="3591" width="16.85546875" style="1" customWidth="1"/>
    <col min="3592" max="3592" width="10.42578125" style="1" customWidth="1"/>
    <col min="3593" max="3593" width="9.85546875" style="1" customWidth="1"/>
    <col min="3594" max="3840" width="11.42578125" style="1"/>
    <col min="3841" max="3841" width="12.85546875" style="1" customWidth="1"/>
    <col min="3842" max="3842" width="10.5703125" style="1" customWidth="1"/>
    <col min="3843" max="3843" width="23.140625" style="1" customWidth="1"/>
    <col min="3844" max="3844" width="16.7109375" style="1" customWidth="1"/>
    <col min="3845" max="3845" width="17.7109375" style="1" customWidth="1"/>
    <col min="3846" max="3846" width="26" style="1" customWidth="1"/>
    <col min="3847" max="3847" width="16.85546875" style="1" customWidth="1"/>
    <col min="3848" max="3848" width="10.42578125" style="1" customWidth="1"/>
    <col min="3849" max="3849" width="9.85546875" style="1" customWidth="1"/>
    <col min="3850" max="4096" width="11.42578125" style="1"/>
    <col min="4097" max="4097" width="12.85546875" style="1" customWidth="1"/>
    <col min="4098" max="4098" width="10.5703125" style="1" customWidth="1"/>
    <col min="4099" max="4099" width="23.140625" style="1" customWidth="1"/>
    <col min="4100" max="4100" width="16.7109375" style="1" customWidth="1"/>
    <col min="4101" max="4101" width="17.7109375" style="1" customWidth="1"/>
    <col min="4102" max="4102" width="26" style="1" customWidth="1"/>
    <col min="4103" max="4103" width="16.85546875" style="1" customWidth="1"/>
    <col min="4104" max="4104" width="10.42578125" style="1" customWidth="1"/>
    <col min="4105" max="4105" width="9.85546875" style="1" customWidth="1"/>
    <col min="4106" max="4352" width="11.42578125" style="1"/>
    <col min="4353" max="4353" width="12.85546875" style="1" customWidth="1"/>
    <col min="4354" max="4354" width="10.5703125" style="1" customWidth="1"/>
    <col min="4355" max="4355" width="23.140625" style="1" customWidth="1"/>
    <col min="4356" max="4356" width="16.7109375" style="1" customWidth="1"/>
    <col min="4357" max="4357" width="17.7109375" style="1" customWidth="1"/>
    <col min="4358" max="4358" width="26" style="1" customWidth="1"/>
    <col min="4359" max="4359" width="16.85546875" style="1" customWidth="1"/>
    <col min="4360" max="4360" width="10.42578125" style="1" customWidth="1"/>
    <col min="4361" max="4361" width="9.85546875" style="1" customWidth="1"/>
    <col min="4362" max="4608" width="11.42578125" style="1"/>
    <col min="4609" max="4609" width="12.85546875" style="1" customWidth="1"/>
    <col min="4610" max="4610" width="10.5703125" style="1" customWidth="1"/>
    <col min="4611" max="4611" width="23.140625" style="1" customWidth="1"/>
    <col min="4612" max="4612" width="16.7109375" style="1" customWidth="1"/>
    <col min="4613" max="4613" width="17.7109375" style="1" customWidth="1"/>
    <col min="4614" max="4614" width="26" style="1" customWidth="1"/>
    <col min="4615" max="4615" width="16.85546875" style="1" customWidth="1"/>
    <col min="4616" max="4616" width="10.42578125" style="1" customWidth="1"/>
    <col min="4617" max="4617" width="9.85546875" style="1" customWidth="1"/>
    <col min="4618" max="4864" width="11.42578125" style="1"/>
    <col min="4865" max="4865" width="12.85546875" style="1" customWidth="1"/>
    <col min="4866" max="4866" width="10.5703125" style="1" customWidth="1"/>
    <col min="4867" max="4867" width="23.140625" style="1" customWidth="1"/>
    <col min="4868" max="4868" width="16.7109375" style="1" customWidth="1"/>
    <col min="4869" max="4869" width="17.7109375" style="1" customWidth="1"/>
    <col min="4870" max="4870" width="26" style="1" customWidth="1"/>
    <col min="4871" max="4871" width="16.85546875" style="1" customWidth="1"/>
    <col min="4872" max="4872" width="10.42578125" style="1" customWidth="1"/>
    <col min="4873" max="4873" width="9.85546875" style="1" customWidth="1"/>
    <col min="4874" max="5120" width="11.42578125" style="1"/>
    <col min="5121" max="5121" width="12.85546875" style="1" customWidth="1"/>
    <col min="5122" max="5122" width="10.5703125" style="1" customWidth="1"/>
    <col min="5123" max="5123" width="23.140625" style="1" customWidth="1"/>
    <col min="5124" max="5124" width="16.7109375" style="1" customWidth="1"/>
    <col min="5125" max="5125" width="17.7109375" style="1" customWidth="1"/>
    <col min="5126" max="5126" width="26" style="1" customWidth="1"/>
    <col min="5127" max="5127" width="16.85546875" style="1" customWidth="1"/>
    <col min="5128" max="5128" width="10.42578125" style="1" customWidth="1"/>
    <col min="5129" max="5129" width="9.85546875" style="1" customWidth="1"/>
    <col min="5130" max="5376" width="11.42578125" style="1"/>
    <col min="5377" max="5377" width="12.85546875" style="1" customWidth="1"/>
    <col min="5378" max="5378" width="10.5703125" style="1" customWidth="1"/>
    <col min="5379" max="5379" width="23.140625" style="1" customWidth="1"/>
    <col min="5380" max="5380" width="16.7109375" style="1" customWidth="1"/>
    <col min="5381" max="5381" width="17.7109375" style="1" customWidth="1"/>
    <col min="5382" max="5382" width="26" style="1" customWidth="1"/>
    <col min="5383" max="5383" width="16.85546875" style="1" customWidth="1"/>
    <col min="5384" max="5384" width="10.42578125" style="1" customWidth="1"/>
    <col min="5385" max="5385" width="9.85546875" style="1" customWidth="1"/>
    <col min="5386" max="5632" width="11.42578125" style="1"/>
    <col min="5633" max="5633" width="12.85546875" style="1" customWidth="1"/>
    <col min="5634" max="5634" width="10.5703125" style="1" customWidth="1"/>
    <col min="5635" max="5635" width="23.140625" style="1" customWidth="1"/>
    <col min="5636" max="5636" width="16.7109375" style="1" customWidth="1"/>
    <col min="5637" max="5637" width="17.7109375" style="1" customWidth="1"/>
    <col min="5638" max="5638" width="26" style="1" customWidth="1"/>
    <col min="5639" max="5639" width="16.85546875" style="1" customWidth="1"/>
    <col min="5640" max="5640" width="10.42578125" style="1" customWidth="1"/>
    <col min="5641" max="5641" width="9.85546875" style="1" customWidth="1"/>
    <col min="5642" max="5888" width="11.42578125" style="1"/>
    <col min="5889" max="5889" width="12.85546875" style="1" customWidth="1"/>
    <col min="5890" max="5890" width="10.5703125" style="1" customWidth="1"/>
    <col min="5891" max="5891" width="23.140625" style="1" customWidth="1"/>
    <col min="5892" max="5892" width="16.7109375" style="1" customWidth="1"/>
    <col min="5893" max="5893" width="17.7109375" style="1" customWidth="1"/>
    <col min="5894" max="5894" width="26" style="1" customWidth="1"/>
    <col min="5895" max="5895" width="16.85546875" style="1" customWidth="1"/>
    <col min="5896" max="5896" width="10.42578125" style="1" customWidth="1"/>
    <col min="5897" max="5897" width="9.85546875" style="1" customWidth="1"/>
    <col min="5898" max="6144" width="11.42578125" style="1"/>
    <col min="6145" max="6145" width="12.85546875" style="1" customWidth="1"/>
    <col min="6146" max="6146" width="10.5703125" style="1" customWidth="1"/>
    <col min="6147" max="6147" width="23.140625" style="1" customWidth="1"/>
    <col min="6148" max="6148" width="16.7109375" style="1" customWidth="1"/>
    <col min="6149" max="6149" width="17.7109375" style="1" customWidth="1"/>
    <col min="6150" max="6150" width="26" style="1" customWidth="1"/>
    <col min="6151" max="6151" width="16.85546875" style="1" customWidth="1"/>
    <col min="6152" max="6152" width="10.42578125" style="1" customWidth="1"/>
    <col min="6153" max="6153" width="9.85546875" style="1" customWidth="1"/>
    <col min="6154" max="6400" width="11.42578125" style="1"/>
    <col min="6401" max="6401" width="12.85546875" style="1" customWidth="1"/>
    <col min="6402" max="6402" width="10.5703125" style="1" customWidth="1"/>
    <col min="6403" max="6403" width="23.140625" style="1" customWidth="1"/>
    <col min="6404" max="6404" width="16.7109375" style="1" customWidth="1"/>
    <col min="6405" max="6405" width="17.7109375" style="1" customWidth="1"/>
    <col min="6406" max="6406" width="26" style="1" customWidth="1"/>
    <col min="6407" max="6407" width="16.85546875" style="1" customWidth="1"/>
    <col min="6408" max="6408" width="10.42578125" style="1" customWidth="1"/>
    <col min="6409" max="6409" width="9.85546875" style="1" customWidth="1"/>
    <col min="6410" max="6656" width="11.42578125" style="1"/>
    <col min="6657" max="6657" width="12.85546875" style="1" customWidth="1"/>
    <col min="6658" max="6658" width="10.5703125" style="1" customWidth="1"/>
    <col min="6659" max="6659" width="23.140625" style="1" customWidth="1"/>
    <col min="6660" max="6660" width="16.7109375" style="1" customWidth="1"/>
    <col min="6661" max="6661" width="17.7109375" style="1" customWidth="1"/>
    <col min="6662" max="6662" width="26" style="1" customWidth="1"/>
    <col min="6663" max="6663" width="16.85546875" style="1" customWidth="1"/>
    <col min="6664" max="6664" width="10.42578125" style="1" customWidth="1"/>
    <col min="6665" max="6665" width="9.85546875" style="1" customWidth="1"/>
    <col min="6666" max="6912" width="11.42578125" style="1"/>
    <col min="6913" max="6913" width="12.85546875" style="1" customWidth="1"/>
    <col min="6914" max="6914" width="10.5703125" style="1" customWidth="1"/>
    <col min="6915" max="6915" width="23.140625" style="1" customWidth="1"/>
    <col min="6916" max="6916" width="16.7109375" style="1" customWidth="1"/>
    <col min="6917" max="6917" width="17.7109375" style="1" customWidth="1"/>
    <col min="6918" max="6918" width="26" style="1" customWidth="1"/>
    <col min="6919" max="6919" width="16.85546875" style="1" customWidth="1"/>
    <col min="6920" max="6920" width="10.42578125" style="1" customWidth="1"/>
    <col min="6921" max="6921" width="9.85546875" style="1" customWidth="1"/>
    <col min="6922" max="7168" width="11.42578125" style="1"/>
    <col min="7169" max="7169" width="12.85546875" style="1" customWidth="1"/>
    <col min="7170" max="7170" width="10.5703125" style="1" customWidth="1"/>
    <col min="7171" max="7171" width="23.140625" style="1" customWidth="1"/>
    <col min="7172" max="7172" width="16.7109375" style="1" customWidth="1"/>
    <col min="7173" max="7173" width="17.7109375" style="1" customWidth="1"/>
    <col min="7174" max="7174" width="26" style="1" customWidth="1"/>
    <col min="7175" max="7175" width="16.85546875" style="1" customWidth="1"/>
    <col min="7176" max="7176" width="10.42578125" style="1" customWidth="1"/>
    <col min="7177" max="7177" width="9.85546875" style="1" customWidth="1"/>
    <col min="7178" max="7424" width="11.42578125" style="1"/>
    <col min="7425" max="7425" width="12.85546875" style="1" customWidth="1"/>
    <col min="7426" max="7426" width="10.5703125" style="1" customWidth="1"/>
    <col min="7427" max="7427" width="23.140625" style="1" customWidth="1"/>
    <col min="7428" max="7428" width="16.7109375" style="1" customWidth="1"/>
    <col min="7429" max="7429" width="17.7109375" style="1" customWidth="1"/>
    <col min="7430" max="7430" width="26" style="1" customWidth="1"/>
    <col min="7431" max="7431" width="16.85546875" style="1" customWidth="1"/>
    <col min="7432" max="7432" width="10.42578125" style="1" customWidth="1"/>
    <col min="7433" max="7433" width="9.85546875" style="1" customWidth="1"/>
    <col min="7434" max="7680" width="11.42578125" style="1"/>
    <col min="7681" max="7681" width="12.85546875" style="1" customWidth="1"/>
    <col min="7682" max="7682" width="10.5703125" style="1" customWidth="1"/>
    <col min="7683" max="7683" width="23.140625" style="1" customWidth="1"/>
    <col min="7684" max="7684" width="16.7109375" style="1" customWidth="1"/>
    <col min="7685" max="7685" width="17.7109375" style="1" customWidth="1"/>
    <col min="7686" max="7686" width="26" style="1" customWidth="1"/>
    <col min="7687" max="7687" width="16.85546875" style="1" customWidth="1"/>
    <col min="7688" max="7688" width="10.42578125" style="1" customWidth="1"/>
    <col min="7689" max="7689" width="9.85546875" style="1" customWidth="1"/>
    <col min="7690" max="7936" width="11.42578125" style="1"/>
    <col min="7937" max="7937" width="12.85546875" style="1" customWidth="1"/>
    <col min="7938" max="7938" width="10.5703125" style="1" customWidth="1"/>
    <col min="7939" max="7939" width="23.140625" style="1" customWidth="1"/>
    <col min="7940" max="7940" width="16.7109375" style="1" customWidth="1"/>
    <col min="7941" max="7941" width="17.7109375" style="1" customWidth="1"/>
    <col min="7942" max="7942" width="26" style="1" customWidth="1"/>
    <col min="7943" max="7943" width="16.85546875" style="1" customWidth="1"/>
    <col min="7944" max="7944" width="10.42578125" style="1" customWidth="1"/>
    <col min="7945" max="7945" width="9.85546875" style="1" customWidth="1"/>
    <col min="7946" max="8192" width="11.42578125" style="1"/>
    <col min="8193" max="8193" width="12.85546875" style="1" customWidth="1"/>
    <col min="8194" max="8194" width="10.5703125" style="1" customWidth="1"/>
    <col min="8195" max="8195" width="23.140625" style="1" customWidth="1"/>
    <col min="8196" max="8196" width="16.7109375" style="1" customWidth="1"/>
    <col min="8197" max="8197" width="17.7109375" style="1" customWidth="1"/>
    <col min="8198" max="8198" width="26" style="1" customWidth="1"/>
    <col min="8199" max="8199" width="16.85546875" style="1" customWidth="1"/>
    <col min="8200" max="8200" width="10.42578125" style="1" customWidth="1"/>
    <col min="8201" max="8201" width="9.85546875" style="1" customWidth="1"/>
    <col min="8202" max="8448" width="11.42578125" style="1"/>
    <col min="8449" max="8449" width="12.85546875" style="1" customWidth="1"/>
    <col min="8450" max="8450" width="10.5703125" style="1" customWidth="1"/>
    <col min="8451" max="8451" width="23.140625" style="1" customWidth="1"/>
    <col min="8452" max="8452" width="16.7109375" style="1" customWidth="1"/>
    <col min="8453" max="8453" width="17.7109375" style="1" customWidth="1"/>
    <col min="8454" max="8454" width="26" style="1" customWidth="1"/>
    <col min="8455" max="8455" width="16.85546875" style="1" customWidth="1"/>
    <col min="8456" max="8456" width="10.42578125" style="1" customWidth="1"/>
    <col min="8457" max="8457" width="9.85546875" style="1" customWidth="1"/>
    <col min="8458" max="8704" width="11.42578125" style="1"/>
    <col min="8705" max="8705" width="12.85546875" style="1" customWidth="1"/>
    <col min="8706" max="8706" width="10.5703125" style="1" customWidth="1"/>
    <col min="8707" max="8707" width="23.140625" style="1" customWidth="1"/>
    <col min="8708" max="8708" width="16.7109375" style="1" customWidth="1"/>
    <col min="8709" max="8709" width="17.7109375" style="1" customWidth="1"/>
    <col min="8710" max="8710" width="26" style="1" customWidth="1"/>
    <col min="8711" max="8711" width="16.85546875" style="1" customWidth="1"/>
    <col min="8712" max="8712" width="10.42578125" style="1" customWidth="1"/>
    <col min="8713" max="8713" width="9.85546875" style="1" customWidth="1"/>
    <col min="8714" max="8960" width="11.42578125" style="1"/>
    <col min="8961" max="8961" width="12.85546875" style="1" customWidth="1"/>
    <col min="8962" max="8962" width="10.5703125" style="1" customWidth="1"/>
    <col min="8963" max="8963" width="23.140625" style="1" customWidth="1"/>
    <col min="8964" max="8964" width="16.7109375" style="1" customWidth="1"/>
    <col min="8965" max="8965" width="17.7109375" style="1" customWidth="1"/>
    <col min="8966" max="8966" width="26" style="1" customWidth="1"/>
    <col min="8967" max="8967" width="16.85546875" style="1" customWidth="1"/>
    <col min="8968" max="8968" width="10.42578125" style="1" customWidth="1"/>
    <col min="8969" max="8969" width="9.85546875" style="1" customWidth="1"/>
    <col min="8970" max="9216" width="11.42578125" style="1"/>
    <col min="9217" max="9217" width="12.85546875" style="1" customWidth="1"/>
    <col min="9218" max="9218" width="10.5703125" style="1" customWidth="1"/>
    <col min="9219" max="9219" width="23.140625" style="1" customWidth="1"/>
    <col min="9220" max="9220" width="16.7109375" style="1" customWidth="1"/>
    <col min="9221" max="9221" width="17.7109375" style="1" customWidth="1"/>
    <col min="9222" max="9222" width="26" style="1" customWidth="1"/>
    <col min="9223" max="9223" width="16.85546875" style="1" customWidth="1"/>
    <col min="9224" max="9224" width="10.42578125" style="1" customWidth="1"/>
    <col min="9225" max="9225" width="9.85546875" style="1" customWidth="1"/>
    <col min="9226" max="9472" width="11.42578125" style="1"/>
    <col min="9473" max="9473" width="12.85546875" style="1" customWidth="1"/>
    <col min="9474" max="9474" width="10.5703125" style="1" customWidth="1"/>
    <col min="9475" max="9475" width="23.140625" style="1" customWidth="1"/>
    <col min="9476" max="9476" width="16.7109375" style="1" customWidth="1"/>
    <col min="9477" max="9477" width="17.7109375" style="1" customWidth="1"/>
    <col min="9478" max="9478" width="26" style="1" customWidth="1"/>
    <col min="9479" max="9479" width="16.85546875" style="1" customWidth="1"/>
    <col min="9480" max="9480" width="10.42578125" style="1" customWidth="1"/>
    <col min="9481" max="9481" width="9.85546875" style="1" customWidth="1"/>
    <col min="9482" max="9728" width="11.42578125" style="1"/>
    <col min="9729" max="9729" width="12.85546875" style="1" customWidth="1"/>
    <col min="9730" max="9730" width="10.5703125" style="1" customWidth="1"/>
    <col min="9731" max="9731" width="23.140625" style="1" customWidth="1"/>
    <col min="9732" max="9732" width="16.7109375" style="1" customWidth="1"/>
    <col min="9733" max="9733" width="17.7109375" style="1" customWidth="1"/>
    <col min="9734" max="9734" width="26" style="1" customWidth="1"/>
    <col min="9735" max="9735" width="16.85546875" style="1" customWidth="1"/>
    <col min="9736" max="9736" width="10.42578125" style="1" customWidth="1"/>
    <col min="9737" max="9737" width="9.85546875" style="1" customWidth="1"/>
    <col min="9738" max="9984" width="11.42578125" style="1"/>
    <col min="9985" max="9985" width="12.85546875" style="1" customWidth="1"/>
    <col min="9986" max="9986" width="10.5703125" style="1" customWidth="1"/>
    <col min="9987" max="9987" width="23.140625" style="1" customWidth="1"/>
    <col min="9988" max="9988" width="16.7109375" style="1" customWidth="1"/>
    <col min="9989" max="9989" width="17.7109375" style="1" customWidth="1"/>
    <col min="9990" max="9990" width="26" style="1" customWidth="1"/>
    <col min="9991" max="9991" width="16.85546875" style="1" customWidth="1"/>
    <col min="9992" max="9992" width="10.42578125" style="1" customWidth="1"/>
    <col min="9993" max="9993" width="9.85546875" style="1" customWidth="1"/>
    <col min="9994" max="10240" width="11.42578125" style="1"/>
    <col min="10241" max="10241" width="12.85546875" style="1" customWidth="1"/>
    <col min="10242" max="10242" width="10.5703125" style="1" customWidth="1"/>
    <col min="10243" max="10243" width="23.140625" style="1" customWidth="1"/>
    <col min="10244" max="10244" width="16.7109375" style="1" customWidth="1"/>
    <col min="10245" max="10245" width="17.7109375" style="1" customWidth="1"/>
    <col min="10246" max="10246" width="26" style="1" customWidth="1"/>
    <col min="10247" max="10247" width="16.85546875" style="1" customWidth="1"/>
    <col min="10248" max="10248" width="10.42578125" style="1" customWidth="1"/>
    <col min="10249" max="10249" width="9.85546875" style="1" customWidth="1"/>
    <col min="10250" max="10496" width="11.42578125" style="1"/>
    <col min="10497" max="10497" width="12.85546875" style="1" customWidth="1"/>
    <col min="10498" max="10498" width="10.5703125" style="1" customWidth="1"/>
    <col min="10499" max="10499" width="23.140625" style="1" customWidth="1"/>
    <col min="10500" max="10500" width="16.7109375" style="1" customWidth="1"/>
    <col min="10501" max="10501" width="17.7109375" style="1" customWidth="1"/>
    <col min="10502" max="10502" width="26" style="1" customWidth="1"/>
    <col min="10503" max="10503" width="16.85546875" style="1" customWidth="1"/>
    <col min="10504" max="10504" width="10.42578125" style="1" customWidth="1"/>
    <col min="10505" max="10505" width="9.85546875" style="1" customWidth="1"/>
    <col min="10506" max="10752" width="11.42578125" style="1"/>
    <col min="10753" max="10753" width="12.85546875" style="1" customWidth="1"/>
    <col min="10754" max="10754" width="10.5703125" style="1" customWidth="1"/>
    <col min="10755" max="10755" width="23.140625" style="1" customWidth="1"/>
    <col min="10756" max="10756" width="16.7109375" style="1" customWidth="1"/>
    <col min="10757" max="10757" width="17.7109375" style="1" customWidth="1"/>
    <col min="10758" max="10758" width="26" style="1" customWidth="1"/>
    <col min="10759" max="10759" width="16.85546875" style="1" customWidth="1"/>
    <col min="10760" max="10760" width="10.42578125" style="1" customWidth="1"/>
    <col min="10761" max="10761" width="9.85546875" style="1" customWidth="1"/>
    <col min="10762" max="11008" width="11.42578125" style="1"/>
    <col min="11009" max="11009" width="12.85546875" style="1" customWidth="1"/>
    <col min="11010" max="11010" width="10.5703125" style="1" customWidth="1"/>
    <col min="11011" max="11011" width="23.140625" style="1" customWidth="1"/>
    <col min="11012" max="11012" width="16.7109375" style="1" customWidth="1"/>
    <col min="11013" max="11013" width="17.7109375" style="1" customWidth="1"/>
    <col min="11014" max="11014" width="26" style="1" customWidth="1"/>
    <col min="11015" max="11015" width="16.85546875" style="1" customWidth="1"/>
    <col min="11016" max="11016" width="10.42578125" style="1" customWidth="1"/>
    <col min="11017" max="11017" width="9.85546875" style="1" customWidth="1"/>
    <col min="11018" max="11264" width="11.42578125" style="1"/>
    <col min="11265" max="11265" width="12.85546875" style="1" customWidth="1"/>
    <col min="11266" max="11266" width="10.5703125" style="1" customWidth="1"/>
    <col min="11267" max="11267" width="23.140625" style="1" customWidth="1"/>
    <col min="11268" max="11268" width="16.7109375" style="1" customWidth="1"/>
    <col min="11269" max="11269" width="17.7109375" style="1" customWidth="1"/>
    <col min="11270" max="11270" width="26" style="1" customWidth="1"/>
    <col min="11271" max="11271" width="16.85546875" style="1" customWidth="1"/>
    <col min="11272" max="11272" width="10.42578125" style="1" customWidth="1"/>
    <col min="11273" max="11273" width="9.85546875" style="1" customWidth="1"/>
    <col min="11274" max="11520" width="11.42578125" style="1"/>
    <col min="11521" max="11521" width="12.85546875" style="1" customWidth="1"/>
    <col min="11522" max="11522" width="10.5703125" style="1" customWidth="1"/>
    <col min="11523" max="11523" width="23.140625" style="1" customWidth="1"/>
    <col min="11524" max="11524" width="16.7109375" style="1" customWidth="1"/>
    <col min="11525" max="11525" width="17.7109375" style="1" customWidth="1"/>
    <col min="11526" max="11526" width="26" style="1" customWidth="1"/>
    <col min="11527" max="11527" width="16.85546875" style="1" customWidth="1"/>
    <col min="11528" max="11528" width="10.42578125" style="1" customWidth="1"/>
    <col min="11529" max="11529" width="9.85546875" style="1" customWidth="1"/>
    <col min="11530" max="11776" width="11.42578125" style="1"/>
    <col min="11777" max="11777" width="12.85546875" style="1" customWidth="1"/>
    <col min="11778" max="11778" width="10.5703125" style="1" customWidth="1"/>
    <col min="11779" max="11779" width="23.140625" style="1" customWidth="1"/>
    <col min="11780" max="11780" width="16.7109375" style="1" customWidth="1"/>
    <col min="11781" max="11781" width="17.7109375" style="1" customWidth="1"/>
    <col min="11782" max="11782" width="26" style="1" customWidth="1"/>
    <col min="11783" max="11783" width="16.85546875" style="1" customWidth="1"/>
    <col min="11784" max="11784" width="10.42578125" style="1" customWidth="1"/>
    <col min="11785" max="11785" width="9.85546875" style="1" customWidth="1"/>
    <col min="11786" max="12032" width="11.42578125" style="1"/>
    <col min="12033" max="12033" width="12.85546875" style="1" customWidth="1"/>
    <col min="12034" max="12034" width="10.5703125" style="1" customWidth="1"/>
    <col min="12035" max="12035" width="23.140625" style="1" customWidth="1"/>
    <col min="12036" max="12036" width="16.7109375" style="1" customWidth="1"/>
    <col min="12037" max="12037" width="17.7109375" style="1" customWidth="1"/>
    <col min="12038" max="12038" width="26" style="1" customWidth="1"/>
    <col min="12039" max="12039" width="16.85546875" style="1" customWidth="1"/>
    <col min="12040" max="12040" width="10.42578125" style="1" customWidth="1"/>
    <col min="12041" max="12041" width="9.85546875" style="1" customWidth="1"/>
    <col min="12042" max="12288" width="11.42578125" style="1"/>
    <col min="12289" max="12289" width="12.85546875" style="1" customWidth="1"/>
    <col min="12290" max="12290" width="10.5703125" style="1" customWidth="1"/>
    <col min="12291" max="12291" width="23.140625" style="1" customWidth="1"/>
    <col min="12292" max="12292" width="16.7109375" style="1" customWidth="1"/>
    <col min="12293" max="12293" width="17.7109375" style="1" customWidth="1"/>
    <col min="12294" max="12294" width="26" style="1" customWidth="1"/>
    <col min="12295" max="12295" width="16.85546875" style="1" customWidth="1"/>
    <col min="12296" max="12296" width="10.42578125" style="1" customWidth="1"/>
    <col min="12297" max="12297" width="9.85546875" style="1" customWidth="1"/>
    <col min="12298" max="12544" width="11.42578125" style="1"/>
    <col min="12545" max="12545" width="12.85546875" style="1" customWidth="1"/>
    <col min="12546" max="12546" width="10.5703125" style="1" customWidth="1"/>
    <col min="12547" max="12547" width="23.140625" style="1" customWidth="1"/>
    <col min="12548" max="12548" width="16.7109375" style="1" customWidth="1"/>
    <col min="12549" max="12549" width="17.7109375" style="1" customWidth="1"/>
    <col min="12550" max="12550" width="26" style="1" customWidth="1"/>
    <col min="12551" max="12551" width="16.85546875" style="1" customWidth="1"/>
    <col min="12552" max="12552" width="10.42578125" style="1" customWidth="1"/>
    <col min="12553" max="12553" width="9.85546875" style="1" customWidth="1"/>
    <col min="12554" max="12800" width="11.42578125" style="1"/>
    <col min="12801" max="12801" width="12.85546875" style="1" customWidth="1"/>
    <col min="12802" max="12802" width="10.5703125" style="1" customWidth="1"/>
    <col min="12803" max="12803" width="23.140625" style="1" customWidth="1"/>
    <col min="12804" max="12804" width="16.7109375" style="1" customWidth="1"/>
    <col min="12805" max="12805" width="17.7109375" style="1" customWidth="1"/>
    <col min="12806" max="12806" width="26" style="1" customWidth="1"/>
    <col min="12807" max="12807" width="16.85546875" style="1" customWidth="1"/>
    <col min="12808" max="12808" width="10.42578125" style="1" customWidth="1"/>
    <col min="12809" max="12809" width="9.85546875" style="1" customWidth="1"/>
    <col min="12810" max="13056" width="11.42578125" style="1"/>
    <col min="13057" max="13057" width="12.85546875" style="1" customWidth="1"/>
    <col min="13058" max="13058" width="10.5703125" style="1" customWidth="1"/>
    <col min="13059" max="13059" width="23.140625" style="1" customWidth="1"/>
    <col min="13060" max="13060" width="16.7109375" style="1" customWidth="1"/>
    <col min="13061" max="13061" width="17.7109375" style="1" customWidth="1"/>
    <col min="13062" max="13062" width="26" style="1" customWidth="1"/>
    <col min="13063" max="13063" width="16.85546875" style="1" customWidth="1"/>
    <col min="13064" max="13064" width="10.42578125" style="1" customWidth="1"/>
    <col min="13065" max="13065" width="9.85546875" style="1" customWidth="1"/>
    <col min="13066" max="13312" width="11.42578125" style="1"/>
    <col min="13313" max="13313" width="12.85546875" style="1" customWidth="1"/>
    <col min="13314" max="13314" width="10.5703125" style="1" customWidth="1"/>
    <col min="13315" max="13315" width="23.140625" style="1" customWidth="1"/>
    <col min="13316" max="13316" width="16.7109375" style="1" customWidth="1"/>
    <col min="13317" max="13317" width="17.7109375" style="1" customWidth="1"/>
    <col min="13318" max="13318" width="26" style="1" customWidth="1"/>
    <col min="13319" max="13319" width="16.85546875" style="1" customWidth="1"/>
    <col min="13320" max="13320" width="10.42578125" style="1" customWidth="1"/>
    <col min="13321" max="13321" width="9.85546875" style="1" customWidth="1"/>
    <col min="13322" max="13568" width="11.42578125" style="1"/>
    <col min="13569" max="13569" width="12.85546875" style="1" customWidth="1"/>
    <col min="13570" max="13570" width="10.5703125" style="1" customWidth="1"/>
    <col min="13571" max="13571" width="23.140625" style="1" customWidth="1"/>
    <col min="13572" max="13572" width="16.7109375" style="1" customWidth="1"/>
    <col min="13573" max="13573" width="17.7109375" style="1" customWidth="1"/>
    <col min="13574" max="13574" width="26" style="1" customWidth="1"/>
    <col min="13575" max="13575" width="16.85546875" style="1" customWidth="1"/>
    <col min="13576" max="13576" width="10.42578125" style="1" customWidth="1"/>
    <col min="13577" max="13577" width="9.85546875" style="1" customWidth="1"/>
    <col min="13578" max="13824" width="11.42578125" style="1"/>
    <col min="13825" max="13825" width="12.85546875" style="1" customWidth="1"/>
    <col min="13826" max="13826" width="10.5703125" style="1" customWidth="1"/>
    <col min="13827" max="13827" width="23.140625" style="1" customWidth="1"/>
    <col min="13828" max="13828" width="16.7109375" style="1" customWidth="1"/>
    <col min="13829" max="13829" width="17.7109375" style="1" customWidth="1"/>
    <col min="13830" max="13830" width="26" style="1" customWidth="1"/>
    <col min="13831" max="13831" width="16.85546875" style="1" customWidth="1"/>
    <col min="13832" max="13832" width="10.42578125" style="1" customWidth="1"/>
    <col min="13833" max="13833" width="9.85546875" style="1" customWidth="1"/>
    <col min="13834" max="14080" width="11.42578125" style="1"/>
    <col min="14081" max="14081" width="12.85546875" style="1" customWidth="1"/>
    <col min="14082" max="14082" width="10.5703125" style="1" customWidth="1"/>
    <col min="14083" max="14083" width="23.140625" style="1" customWidth="1"/>
    <col min="14084" max="14084" width="16.7109375" style="1" customWidth="1"/>
    <col min="14085" max="14085" width="17.7109375" style="1" customWidth="1"/>
    <col min="14086" max="14086" width="26" style="1" customWidth="1"/>
    <col min="14087" max="14087" width="16.85546875" style="1" customWidth="1"/>
    <col min="14088" max="14088" width="10.42578125" style="1" customWidth="1"/>
    <col min="14089" max="14089" width="9.85546875" style="1" customWidth="1"/>
    <col min="14090" max="14336" width="11.42578125" style="1"/>
    <col min="14337" max="14337" width="12.85546875" style="1" customWidth="1"/>
    <col min="14338" max="14338" width="10.5703125" style="1" customWidth="1"/>
    <col min="14339" max="14339" width="23.140625" style="1" customWidth="1"/>
    <col min="14340" max="14340" width="16.7109375" style="1" customWidth="1"/>
    <col min="14341" max="14341" width="17.7109375" style="1" customWidth="1"/>
    <col min="14342" max="14342" width="26" style="1" customWidth="1"/>
    <col min="14343" max="14343" width="16.85546875" style="1" customWidth="1"/>
    <col min="14344" max="14344" width="10.42578125" style="1" customWidth="1"/>
    <col min="14345" max="14345" width="9.85546875" style="1" customWidth="1"/>
    <col min="14346" max="14592" width="11.42578125" style="1"/>
    <col min="14593" max="14593" width="12.85546875" style="1" customWidth="1"/>
    <col min="14594" max="14594" width="10.5703125" style="1" customWidth="1"/>
    <col min="14595" max="14595" width="23.140625" style="1" customWidth="1"/>
    <col min="14596" max="14596" width="16.7109375" style="1" customWidth="1"/>
    <col min="14597" max="14597" width="17.7109375" style="1" customWidth="1"/>
    <col min="14598" max="14598" width="26" style="1" customWidth="1"/>
    <col min="14599" max="14599" width="16.85546875" style="1" customWidth="1"/>
    <col min="14600" max="14600" width="10.42578125" style="1" customWidth="1"/>
    <col min="14601" max="14601" width="9.85546875" style="1" customWidth="1"/>
    <col min="14602" max="14848" width="11.42578125" style="1"/>
    <col min="14849" max="14849" width="12.85546875" style="1" customWidth="1"/>
    <col min="14850" max="14850" width="10.5703125" style="1" customWidth="1"/>
    <col min="14851" max="14851" width="23.140625" style="1" customWidth="1"/>
    <col min="14852" max="14852" width="16.7109375" style="1" customWidth="1"/>
    <col min="14853" max="14853" width="17.7109375" style="1" customWidth="1"/>
    <col min="14854" max="14854" width="26" style="1" customWidth="1"/>
    <col min="14855" max="14855" width="16.85546875" style="1" customWidth="1"/>
    <col min="14856" max="14856" width="10.42578125" style="1" customWidth="1"/>
    <col min="14857" max="14857" width="9.85546875" style="1" customWidth="1"/>
    <col min="14858" max="15104" width="11.42578125" style="1"/>
    <col min="15105" max="15105" width="12.85546875" style="1" customWidth="1"/>
    <col min="15106" max="15106" width="10.5703125" style="1" customWidth="1"/>
    <col min="15107" max="15107" width="23.140625" style="1" customWidth="1"/>
    <col min="15108" max="15108" width="16.7109375" style="1" customWidth="1"/>
    <col min="15109" max="15109" width="17.7109375" style="1" customWidth="1"/>
    <col min="15110" max="15110" width="26" style="1" customWidth="1"/>
    <col min="15111" max="15111" width="16.85546875" style="1" customWidth="1"/>
    <col min="15112" max="15112" width="10.42578125" style="1" customWidth="1"/>
    <col min="15113" max="15113" width="9.85546875" style="1" customWidth="1"/>
    <col min="15114" max="15360" width="11.42578125" style="1"/>
    <col min="15361" max="15361" width="12.85546875" style="1" customWidth="1"/>
    <col min="15362" max="15362" width="10.5703125" style="1" customWidth="1"/>
    <col min="15363" max="15363" width="23.140625" style="1" customWidth="1"/>
    <col min="15364" max="15364" width="16.7109375" style="1" customWidth="1"/>
    <col min="15365" max="15365" width="17.7109375" style="1" customWidth="1"/>
    <col min="15366" max="15366" width="26" style="1" customWidth="1"/>
    <col min="15367" max="15367" width="16.85546875" style="1" customWidth="1"/>
    <col min="15368" max="15368" width="10.42578125" style="1" customWidth="1"/>
    <col min="15369" max="15369" width="9.85546875" style="1" customWidth="1"/>
    <col min="15370" max="15616" width="11.42578125" style="1"/>
    <col min="15617" max="15617" width="12.85546875" style="1" customWidth="1"/>
    <col min="15618" max="15618" width="10.5703125" style="1" customWidth="1"/>
    <col min="15619" max="15619" width="23.140625" style="1" customWidth="1"/>
    <col min="15620" max="15620" width="16.7109375" style="1" customWidth="1"/>
    <col min="15621" max="15621" width="17.7109375" style="1" customWidth="1"/>
    <col min="15622" max="15622" width="26" style="1" customWidth="1"/>
    <col min="15623" max="15623" width="16.85546875" style="1" customWidth="1"/>
    <col min="15624" max="15624" width="10.42578125" style="1" customWidth="1"/>
    <col min="15625" max="15625" width="9.85546875" style="1" customWidth="1"/>
    <col min="15626" max="15872" width="11.42578125" style="1"/>
    <col min="15873" max="15873" width="12.85546875" style="1" customWidth="1"/>
    <col min="15874" max="15874" width="10.5703125" style="1" customWidth="1"/>
    <col min="15875" max="15875" width="23.140625" style="1" customWidth="1"/>
    <col min="15876" max="15876" width="16.7109375" style="1" customWidth="1"/>
    <col min="15877" max="15877" width="17.7109375" style="1" customWidth="1"/>
    <col min="15878" max="15878" width="26" style="1" customWidth="1"/>
    <col min="15879" max="15879" width="16.85546875" style="1" customWidth="1"/>
    <col min="15880" max="15880" width="10.42578125" style="1" customWidth="1"/>
    <col min="15881" max="15881" width="9.85546875" style="1" customWidth="1"/>
    <col min="15882" max="16128" width="11.42578125" style="1"/>
    <col min="16129" max="16129" width="12.85546875" style="1" customWidth="1"/>
    <col min="16130" max="16130" width="10.5703125" style="1" customWidth="1"/>
    <col min="16131" max="16131" width="23.140625" style="1" customWidth="1"/>
    <col min="16132" max="16132" width="16.7109375" style="1" customWidth="1"/>
    <col min="16133" max="16133" width="17.7109375" style="1" customWidth="1"/>
    <col min="16134" max="16134" width="26" style="1" customWidth="1"/>
    <col min="16135" max="16135" width="16.85546875" style="1" customWidth="1"/>
    <col min="16136" max="16136" width="10.42578125" style="1" customWidth="1"/>
    <col min="16137" max="16137" width="9.85546875" style="1" customWidth="1"/>
    <col min="16138" max="16384" width="11.42578125" style="1"/>
  </cols>
  <sheetData>
    <row r="2" spans="1:9" x14ac:dyDescent="0.25">
      <c r="A2" s="851" t="s">
        <v>0</v>
      </c>
      <c r="B2" s="852"/>
      <c r="C2" s="852"/>
      <c r="D2" s="852"/>
      <c r="E2" s="852"/>
      <c r="F2" s="852"/>
      <c r="G2" s="852"/>
      <c r="H2" s="852"/>
      <c r="I2" s="852"/>
    </row>
    <row r="3" spans="1:9" x14ac:dyDescent="0.25">
      <c r="C3" s="853" t="s">
        <v>1</v>
      </c>
      <c r="D3" s="3" t="s">
        <v>2</v>
      </c>
    </row>
    <row r="4" spans="1:9" x14ac:dyDescent="0.25">
      <c r="C4" s="844"/>
      <c r="D4" s="4" t="s">
        <v>3</v>
      </c>
    </row>
    <row r="5" spans="1:9" x14ac:dyDescent="0.25">
      <c r="C5" s="5" t="s">
        <v>4</v>
      </c>
      <c r="D5" s="6">
        <f>G16+G17+G18</f>
        <v>2.6666666666666665</v>
      </c>
    </row>
    <row r="6" spans="1:9" ht="30" x14ac:dyDescent="0.25">
      <c r="C6" s="7" t="s">
        <v>5</v>
      </c>
      <c r="D6" s="8">
        <f>G18</f>
        <v>0.4</v>
      </c>
    </row>
    <row r="7" spans="1:9" x14ac:dyDescent="0.25">
      <c r="C7" s="7" t="s">
        <v>6</v>
      </c>
      <c r="D7" s="8">
        <f>G19</f>
        <v>0.02</v>
      </c>
    </row>
    <row r="8" spans="1:9" x14ac:dyDescent="0.25">
      <c r="C8" s="7" t="s">
        <v>7</v>
      </c>
      <c r="D8" s="8">
        <f>G20+G21+G22+G23+G14</f>
        <v>1.05</v>
      </c>
    </row>
    <row r="9" spans="1:9" x14ac:dyDescent="0.25">
      <c r="C9" s="7" t="s">
        <v>8</v>
      </c>
      <c r="D9" s="8">
        <f>G21</f>
        <v>0.02</v>
      </c>
    </row>
    <row r="10" spans="1:9" x14ac:dyDescent="0.25">
      <c r="C10" s="7" t="s">
        <v>9</v>
      </c>
      <c r="D10" s="8">
        <f>B24</f>
        <v>3.7466666666666661</v>
      </c>
      <c r="E10" s="9"/>
    </row>
    <row r="12" spans="1:9" s="2" customFormat="1" ht="41.25" customHeight="1" x14ac:dyDescent="0.25">
      <c r="A12" s="10" t="s">
        <v>10</v>
      </c>
      <c r="B12" s="10" t="s">
        <v>11</v>
      </c>
      <c r="C12" s="10" t="s">
        <v>12</v>
      </c>
      <c r="D12" s="11" t="s">
        <v>1</v>
      </c>
      <c r="E12" s="10" t="s">
        <v>13</v>
      </c>
      <c r="F12" s="10" t="s">
        <v>14</v>
      </c>
      <c r="G12" s="10" t="s">
        <v>15</v>
      </c>
      <c r="H12" s="10" t="s">
        <v>16</v>
      </c>
      <c r="I12" s="10" t="s">
        <v>17</v>
      </c>
    </row>
    <row r="13" spans="1:9" ht="60" x14ac:dyDescent="0.25">
      <c r="A13" s="10" t="s">
        <v>18</v>
      </c>
      <c r="B13" s="10"/>
      <c r="C13" s="7" t="s">
        <v>19</v>
      </c>
      <c r="D13" s="12"/>
      <c r="E13" s="7" t="s">
        <v>20</v>
      </c>
      <c r="F13" s="7"/>
      <c r="G13" s="8">
        <v>0</v>
      </c>
      <c r="H13" s="7"/>
      <c r="I13" s="7"/>
    </row>
    <row r="14" spans="1:9" ht="75" x14ac:dyDescent="0.25">
      <c r="A14" s="10" t="s">
        <v>21</v>
      </c>
      <c r="B14" s="8">
        <f>G13</f>
        <v>0</v>
      </c>
      <c r="C14" s="7" t="s">
        <v>22</v>
      </c>
      <c r="D14" s="7" t="s">
        <v>23</v>
      </c>
      <c r="E14" s="7" t="s">
        <v>24</v>
      </c>
      <c r="F14" s="7" t="s">
        <v>25</v>
      </c>
      <c r="G14" s="8">
        <v>0.01</v>
      </c>
      <c r="H14" s="7"/>
      <c r="I14" s="7"/>
    </row>
    <row r="15" spans="1:9" ht="45" x14ac:dyDescent="0.25">
      <c r="A15" s="10" t="s">
        <v>26</v>
      </c>
      <c r="B15" s="8">
        <f t="shared" ref="B15:B24" si="0">B14+G14</f>
        <v>0.01</v>
      </c>
      <c r="C15" s="7" t="s">
        <v>27</v>
      </c>
      <c r="D15" s="12" t="s">
        <v>28</v>
      </c>
      <c r="E15" s="7" t="s">
        <v>29</v>
      </c>
      <c r="F15" s="7" t="s">
        <v>30</v>
      </c>
      <c r="G15" s="8">
        <v>0.01</v>
      </c>
      <c r="H15" s="7"/>
      <c r="I15" s="7"/>
    </row>
    <row r="16" spans="1:9" ht="60" x14ac:dyDescent="0.25">
      <c r="A16" s="10" t="s">
        <v>31</v>
      </c>
      <c r="B16" s="8">
        <f t="shared" si="0"/>
        <v>0.02</v>
      </c>
      <c r="C16" s="7" t="s">
        <v>32</v>
      </c>
      <c r="D16" s="12" t="s">
        <v>4</v>
      </c>
      <c r="E16" s="7" t="s">
        <v>33</v>
      </c>
      <c r="F16" s="7" t="s">
        <v>34</v>
      </c>
      <c r="G16" s="8">
        <v>0.02</v>
      </c>
      <c r="H16" s="7"/>
      <c r="I16" s="7"/>
    </row>
    <row r="17" spans="1:9" ht="45" x14ac:dyDescent="0.25">
      <c r="A17" s="10" t="s">
        <v>35</v>
      </c>
      <c r="B17" s="8">
        <f t="shared" si="0"/>
        <v>0.04</v>
      </c>
      <c r="C17" s="7" t="s">
        <v>36</v>
      </c>
      <c r="D17" s="12" t="s">
        <v>37</v>
      </c>
      <c r="E17" s="7" t="s">
        <v>33</v>
      </c>
      <c r="F17" s="7" t="s">
        <v>38</v>
      </c>
      <c r="G17" s="8">
        <f>'[3]SBR 3 Lps'!D43-G16-G18</f>
        <v>2.2466666666666666</v>
      </c>
      <c r="H17" s="7"/>
      <c r="I17" s="7"/>
    </row>
    <row r="18" spans="1:9" ht="30" x14ac:dyDescent="0.25">
      <c r="A18" s="10" t="s">
        <v>39</v>
      </c>
      <c r="B18" s="8">
        <f t="shared" si="0"/>
        <v>2.2866666666666666</v>
      </c>
      <c r="C18" s="7" t="s">
        <v>40</v>
      </c>
      <c r="D18" s="12" t="s">
        <v>4</v>
      </c>
      <c r="E18" s="7" t="s">
        <v>33</v>
      </c>
      <c r="F18" s="7" t="s">
        <v>41</v>
      </c>
      <c r="G18" s="8">
        <v>0.4</v>
      </c>
      <c r="H18" s="7"/>
      <c r="I18" s="7"/>
    </row>
    <row r="19" spans="1:9" ht="30" x14ac:dyDescent="0.25">
      <c r="A19" s="10" t="s">
        <v>42</v>
      </c>
      <c r="B19" s="8">
        <f t="shared" si="0"/>
        <v>2.6866666666666665</v>
      </c>
      <c r="C19" s="7" t="s">
        <v>43</v>
      </c>
      <c r="D19" s="12" t="s">
        <v>44</v>
      </c>
      <c r="E19" s="7" t="s">
        <v>33</v>
      </c>
      <c r="F19" s="7" t="s">
        <v>45</v>
      </c>
      <c r="G19" s="8">
        <f>'[3]Prop CA'!C83</f>
        <v>0.02</v>
      </c>
      <c r="H19" s="7"/>
      <c r="I19" s="7"/>
    </row>
    <row r="20" spans="1:9" ht="30" x14ac:dyDescent="0.25">
      <c r="A20" s="10" t="s">
        <v>46</v>
      </c>
      <c r="B20" s="8">
        <f t="shared" si="0"/>
        <v>2.7066666666666666</v>
      </c>
      <c r="C20" s="7" t="s">
        <v>47</v>
      </c>
      <c r="D20" s="12" t="s">
        <v>23</v>
      </c>
      <c r="E20" s="7" t="s">
        <v>33</v>
      </c>
      <c r="F20" s="7" t="s">
        <v>48</v>
      </c>
      <c r="G20" s="8">
        <f>'[3]SBR 3 Lps'!D44</f>
        <v>1</v>
      </c>
      <c r="H20" s="7"/>
      <c r="I20" s="7"/>
    </row>
    <row r="21" spans="1:9" ht="25.5" customHeight="1" x14ac:dyDescent="0.25">
      <c r="A21" s="10" t="s">
        <v>49</v>
      </c>
      <c r="B21" s="8">
        <f t="shared" si="0"/>
        <v>3.7066666666666666</v>
      </c>
      <c r="C21" s="7" t="s">
        <v>50</v>
      </c>
      <c r="D21" s="12" t="s">
        <v>51</v>
      </c>
      <c r="E21" s="7" t="s">
        <v>33</v>
      </c>
      <c r="F21" s="7" t="s">
        <v>52</v>
      </c>
      <c r="G21" s="8">
        <v>0.02</v>
      </c>
      <c r="H21" s="7"/>
      <c r="I21" s="7"/>
    </row>
    <row r="22" spans="1:9" ht="25.5" customHeight="1" x14ac:dyDescent="0.25">
      <c r="A22" s="10" t="s">
        <v>53</v>
      </c>
      <c r="B22" s="8">
        <f t="shared" si="0"/>
        <v>3.7266666666666666</v>
      </c>
      <c r="C22" s="7" t="s">
        <v>54</v>
      </c>
      <c r="D22" s="12" t="s">
        <v>23</v>
      </c>
      <c r="E22" s="7" t="s">
        <v>33</v>
      </c>
      <c r="F22" s="7" t="s">
        <v>55</v>
      </c>
      <c r="G22" s="8">
        <v>0.01</v>
      </c>
      <c r="H22" s="7"/>
      <c r="I22" s="7"/>
    </row>
    <row r="23" spans="1:9" ht="60" x14ac:dyDescent="0.25">
      <c r="A23" s="10" t="s">
        <v>56</v>
      </c>
      <c r="B23" s="8">
        <f t="shared" si="0"/>
        <v>3.7366666666666664</v>
      </c>
      <c r="C23" s="7" t="s">
        <v>57</v>
      </c>
      <c r="D23" s="12" t="s">
        <v>23</v>
      </c>
      <c r="E23" s="7" t="s">
        <v>33</v>
      </c>
      <c r="F23" s="7" t="s">
        <v>58</v>
      </c>
      <c r="G23" s="8">
        <v>0.01</v>
      </c>
      <c r="H23" s="7"/>
      <c r="I23" s="7"/>
    </row>
    <row r="24" spans="1:9" x14ac:dyDescent="0.25">
      <c r="A24" s="10" t="s">
        <v>59</v>
      </c>
      <c r="B24" s="8">
        <f t="shared" si="0"/>
        <v>3.7466666666666661</v>
      </c>
    </row>
    <row r="26" spans="1:9" customFormat="1" x14ac:dyDescent="0.25">
      <c r="A26" s="13" t="s">
        <v>60</v>
      </c>
      <c r="B26" s="14"/>
      <c r="C26" s="806" t="s">
        <v>61</v>
      </c>
      <c r="D26" s="799"/>
      <c r="E26" s="799"/>
      <c r="F26" s="799"/>
      <c r="G26" s="799"/>
      <c r="H26" s="799"/>
    </row>
    <row r="34" spans="4:4" x14ac:dyDescent="0.25">
      <c r="D34" s="2"/>
    </row>
    <row r="35" spans="4:4" x14ac:dyDescent="0.25">
      <c r="D35" s="2"/>
    </row>
    <row r="36" spans="4:4" x14ac:dyDescent="0.25">
      <c r="D36" s="2"/>
    </row>
  </sheetData>
  <mergeCells count="3">
    <mergeCell ref="A2:I2"/>
    <mergeCell ref="C3:C4"/>
    <mergeCell ref="C26:H2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Q313"/>
  <sheetViews>
    <sheetView topLeftCell="A190" zoomScale="75" zoomScaleNormal="75" workbookViewId="0">
      <selection activeCell="B221" sqref="B221"/>
    </sheetView>
  </sheetViews>
  <sheetFormatPr baseColWidth="10" defaultRowHeight="12.75" x14ac:dyDescent="0.2"/>
  <cols>
    <col min="1" max="1" width="15.28515625" style="97" customWidth="1"/>
    <col min="2" max="2" width="59.5703125" style="63" customWidth="1"/>
    <col min="3" max="3" width="19.42578125" style="74" customWidth="1"/>
    <col min="4" max="4" width="17.85546875" style="63" customWidth="1"/>
    <col min="5" max="5" width="22" style="63" customWidth="1"/>
    <col min="6" max="6" width="24.140625" style="63" customWidth="1"/>
    <col min="7" max="7" width="11.42578125" style="63"/>
    <col min="8" max="8" width="18.42578125" style="63" bestFit="1" customWidth="1"/>
    <col min="9" max="9" width="17.140625" style="63" customWidth="1"/>
    <col min="10" max="10" width="11.5703125" style="63" bestFit="1" customWidth="1"/>
    <col min="11" max="11" width="30.28515625" style="63" customWidth="1"/>
    <col min="12" max="256" width="11.42578125" style="63"/>
    <col min="257" max="257" width="7.28515625" style="63" customWidth="1"/>
    <col min="258" max="258" width="37.7109375" style="63" customWidth="1"/>
    <col min="259" max="259" width="17.85546875" style="63" customWidth="1"/>
    <col min="260" max="260" width="12.28515625" style="63" bestFit="1" customWidth="1"/>
    <col min="261" max="261" width="11.42578125" style="63"/>
    <col min="262" max="262" width="24.140625" style="63" customWidth="1"/>
    <col min="263" max="264" width="11.42578125" style="63"/>
    <col min="265" max="265" width="17.140625" style="63" customWidth="1"/>
    <col min="266" max="266" width="11.42578125" style="63"/>
    <col min="267" max="267" width="30.28515625" style="63" customWidth="1"/>
    <col min="268" max="512" width="11.42578125" style="63"/>
    <col min="513" max="513" width="7.28515625" style="63" customWidth="1"/>
    <col min="514" max="514" width="37.7109375" style="63" customWidth="1"/>
    <col min="515" max="515" width="17.85546875" style="63" customWidth="1"/>
    <col min="516" max="516" width="12.28515625" style="63" bestFit="1" customWidth="1"/>
    <col min="517" max="517" width="11.42578125" style="63"/>
    <col min="518" max="518" width="24.140625" style="63" customWidth="1"/>
    <col min="519" max="520" width="11.42578125" style="63"/>
    <col min="521" max="521" width="17.140625" style="63" customWidth="1"/>
    <col min="522" max="522" width="11.42578125" style="63"/>
    <col min="523" max="523" width="30.28515625" style="63" customWidth="1"/>
    <col min="524" max="768" width="11.42578125" style="63"/>
    <col min="769" max="769" width="7.28515625" style="63" customWidth="1"/>
    <col min="770" max="770" width="37.7109375" style="63" customWidth="1"/>
    <col min="771" max="771" width="17.85546875" style="63" customWidth="1"/>
    <col min="772" max="772" width="12.28515625" style="63" bestFit="1" customWidth="1"/>
    <col min="773" max="773" width="11.42578125" style="63"/>
    <col min="774" max="774" width="24.140625" style="63" customWidth="1"/>
    <col min="775" max="776" width="11.42578125" style="63"/>
    <col min="777" max="777" width="17.140625" style="63" customWidth="1"/>
    <col min="778" max="778" width="11.42578125" style="63"/>
    <col min="779" max="779" width="30.28515625" style="63" customWidth="1"/>
    <col min="780" max="1024" width="11.42578125" style="63"/>
    <col min="1025" max="1025" width="7.28515625" style="63" customWidth="1"/>
    <col min="1026" max="1026" width="37.7109375" style="63" customWidth="1"/>
    <col min="1027" max="1027" width="17.85546875" style="63" customWidth="1"/>
    <col min="1028" max="1028" width="12.28515625" style="63" bestFit="1" customWidth="1"/>
    <col min="1029" max="1029" width="11.42578125" style="63"/>
    <col min="1030" max="1030" width="24.140625" style="63" customWidth="1"/>
    <col min="1031" max="1032" width="11.42578125" style="63"/>
    <col min="1033" max="1033" width="17.140625" style="63" customWidth="1"/>
    <col min="1034" max="1034" width="11.42578125" style="63"/>
    <col min="1035" max="1035" width="30.28515625" style="63" customWidth="1"/>
    <col min="1036" max="1280" width="11.42578125" style="63"/>
    <col min="1281" max="1281" width="7.28515625" style="63" customWidth="1"/>
    <col min="1282" max="1282" width="37.7109375" style="63" customWidth="1"/>
    <col min="1283" max="1283" width="17.85546875" style="63" customWidth="1"/>
    <col min="1284" max="1284" width="12.28515625" style="63" bestFit="1" customWidth="1"/>
    <col min="1285" max="1285" width="11.42578125" style="63"/>
    <col min="1286" max="1286" width="24.140625" style="63" customWidth="1"/>
    <col min="1287" max="1288" width="11.42578125" style="63"/>
    <col min="1289" max="1289" width="17.140625" style="63" customWidth="1"/>
    <col min="1290" max="1290" width="11.42578125" style="63"/>
    <col min="1291" max="1291" width="30.28515625" style="63" customWidth="1"/>
    <col min="1292" max="1536" width="11.42578125" style="63"/>
    <col min="1537" max="1537" width="7.28515625" style="63" customWidth="1"/>
    <col min="1538" max="1538" width="37.7109375" style="63" customWidth="1"/>
    <col min="1539" max="1539" width="17.85546875" style="63" customWidth="1"/>
    <col min="1540" max="1540" width="12.28515625" style="63" bestFit="1" customWidth="1"/>
    <col min="1541" max="1541" width="11.42578125" style="63"/>
    <col min="1542" max="1542" width="24.140625" style="63" customWidth="1"/>
    <col min="1543" max="1544" width="11.42578125" style="63"/>
    <col min="1545" max="1545" width="17.140625" style="63" customWidth="1"/>
    <col min="1546" max="1546" width="11.42578125" style="63"/>
    <col min="1547" max="1547" width="30.28515625" style="63" customWidth="1"/>
    <col min="1548" max="1792" width="11.42578125" style="63"/>
    <col min="1793" max="1793" width="7.28515625" style="63" customWidth="1"/>
    <col min="1794" max="1794" width="37.7109375" style="63" customWidth="1"/>
    <col min="1795" max="1795" width="17.85546875" style="63" customWidth="1"/>
    <col min="1796" max="1796" width="12.28515625" style="63" bestFit="1" customWidth="1"/>
    <col min="1797" max="1797" width="11.42578125" style="63"/>
    <col min="1798" max="1798" width="24.140625" style="63" customWidth="1"/>
    <col min="1799" max="1800" width="11.42578125" style="63"/>
    <col min="1801" max="1801" width="17.140625" style="63" customWidth="1"/>
    <col min="1802" max="1802" width="11.42578125" style="63"/>
    <col min="1803" max="1803" width="30.28515625" style="63" customWidth="1"/>
    <col min="1804" max="2048" width="11.42578125" style="63"/>
    <col min="2049" max="2049" width="7.28515625" style="63" customWidth="1"/>
    <col min="2050" max="2050" width="37.7109375" style="63" customWidth="1"/>
    <col min="2051" max="2051" width="17.85546875" style="63" customWidth="1"/>
    <col min="2052" max="2052" width="12.28515625" style="63" bestFit="1" customWidth="1"/>
    <col min="2053" max="2053" width="11.42578125" style="63"/>
    <col min="2054" max="2054" width="24.140625" style="63" customWidth="1"/>
    <col min="2055" max="2056" width="11.42578125" style="63"/>
    <col min="2057" max="2057" width="17.140625" style="63" customWidth="1"/>
    <col min="2058" max="2058" width="11.42578125" style="63"/>
    <col min="2059" max="2059" width="30.28515625" style="63" customWidth="1"/>
    <col min="2060" max="2304" width="11.42578125" style="63"/>
    <col min="2305" max="2305" width="7.28515625" style="63" customWidth="1"/>
    <col min="2306" max="2306" width="37.7109375" style="63" customWidth="1"/>
    <col min="2307" max="2307" width="17.85546875" style="63" customWidth="1"/>
    <col min="2308" max="2308" width="12.28515625" style="63" bestFit="1" customWidth="1"/>
    <col min="2309" max="2309" width="11.42578125" style="63"/>
    <col min="2310" max="2310" width="24.140625" style="63" customWidth="1"/>
    <col min="2311" max="2312" width="11.42578125" style="63"/>
    <col min="2313" max="2313" width="17.140625" style="63" customWidth="1"/>
    <col min="2314" max="2314" width="11.42578125" style="63"/>
    <col min="2315" max="2315" width="30.28515625" style="63" customWidth="1"/>
    <col min="2316" max="2560" width="11.42578125" style="63"/>
    <col min="2561" max="2561" width="7.28515625" style="63" customWidth="1"/>
    <col min="2562" max="2562" width="37.7109375" style="63" customWidth="1"/>
    <col min="2563" max="2563" width="17.85546875" style="63" customWidth="1"/>
    <col min="2564" max="2564" width="12.28515625" style="63" bestFit="1" customWidth="1"/>
    <col min="2565" max="2565" width="11.42578125" style="63"/>
    <col min="2566" max="2566" width="24.140625" style="63" customWidth="1"/>
    <col min="2567" max="2568" width="11.42578125" style="63"/>
    <col min="2569" max="2569" width="17.140625" style="63" customWidth="1"/>
    <col min="2570" max="2570" width="11.42578125" style="63"/>
    <col min="2571" max="2571" width="30.28515625" style="63" customWidth="1"/>
    <col min="2572" max="2816" width="11.42578125" style="63"/>
    <col min="2817" max="2817" width="7.28515625" style="63" customWidth="1"/>
    <col min="2818" max="2818" width="37.7109375" style="63" customWidth="1"/>
    <col min="2819" max="2819" width="17.85546875" style="63" customWidth="1"/>
    <col min="2820" max="2820" width="12.28515625" style="63" bestFit="1" customWidth="1"/>
    <col min="2821" max="2821" width="11.42578125" style="63"/>
    <col min="2822" max="2822" width="24.140625" style="63" customWidth="1"/>
    <col min="2823" max="2824" width="11.42578125" style="63"/>
    <col min="2825" max="2825" width="17.140625" style="63" customWidth="1"/>
    <col min="2826" max="2826" width="11.42578125" style="63"/>
    <col min="2827" max="2827" width="30.28515625" style="63" customWidth="1"/>
    <col min="2828" max="3072" width="11.42578125" style="63"/>
    <col min="3073" max="3073" width="7.28515625" style="63" customWidth="1"/>
    <col min="3074" max="3074" width="37.7109375" style="63" customWidth="1"/>
    <col min="3075" max="3075" width="17.85546875" style="63" customWidth="1"/>
    <col min="3076" max="3076" width="12.28515625" style="63" bestFit="1" customWidth="1"/>
    <col min="3077" max="3077" width="11.42578125" style="63"/>
    <col min="3078" max="3078" width="24.140625" style="63" customWidth="1"/>
    <col min="3079" max="3080" width="11.42578125" style="63"/>
    <col min="3081" max="3081" width="17.140625" style="63" customWidth="1"/>
    <col min="3082" max="3082" width="11.42578125" style="63"/>
    <col min="3083" max="3083" width="30.28515625" style="63" customWidth="1"/>
    <col min="3084" max="3328" width="11.42578125" style="63"/>
    <col min="3329" max="3329" width="7.28515625" style="63" customWidth="1"/>
    <col min="3330" max="3330" width="37.7109375" style="63" customWidth="1"/>
    <col min="3331" max="3331" width="17.85546875" style="63" customWidth="1"/>
    <col min="3332" max="3332" width="12.28515625" style="63" bestFit="1" customWidth="1"/>
    <col min="3333" max="3333" width="11.42578125" style="63"/>
    <col min="3334" max="3334" width="24.140625" style="63" customWidth="1"/>
    <col min="3335" max="3336" width="11.42578125" style="63"/>
    <col min="3337" max="3337" width="17.140625" style="63" customWidth="1"/>
    <col min="3338" max="3338" width="11.42578125" style="63"/>
    <col min="3339" max="3339" width="30.28515625" style="63" customWidth="1"/>
    <col min="3340" max="3584" width="11.42578125" style="63"/>
    <col min="3585" max="3585" width="7.28515625" style="63" customWidth="1"/>
    <col min="3586" max="3586" width="37.7109375" style="63" customWidth="1"/>
    <col min="3587" max="3587" width="17.85546875" style="63" customWidth="1"/>
    <col min="3588" max="3588" width="12.28515625" style="63" bestFit="1" customWidth="1"/>
    <col min="3589" max="3589" width="11.42578125" style="63"/>
    <col min="3590" max="3590" width="24.140625" style="63" customWidth="1"/>
    <col min="3591" max="3592" width="11.42578125" style="63"/>
    <col min="3593" max="3593" width="17.140625" style="63" customWidth="1"/>
    <col min="3594" max="3594" width="11.42578125" style="63"/>
    <col min="3595" max="3595" width="30.28515625" style="63" customWidth="1"/>
    <col min="3596" max="3840" width="11.42578125" style="63"/>
    <col min="3841" max="3841" width="7.28515625" style="63" customWidth="1"/>
    <col min="3842" max="3842" width="37.7109375" style="63" customWidth="1"/>
    <col min="3843" max="3843" width="17.85546875" style="63" customWidth="1"/>
    <col min="3844" max="3844" width="12.28515625" style="63" bestFit="1" customWidth="1"/>
    <col min="3845" max="3845" width="11.42578125" style="63"/>
    <col min="3846" max="3846" width="24.140625" style="63" customWidth="1"/>
    <col min="3847" max="3848" width="11.42578125" style="63"/>
    <col min="3849" max="3849" width="17.140625" style="63" customWidth="1"/>
    <col min="3850" max="3850" width="11.42578125" style="63"/>
    <col min="3851" max="3851" width="30.28515625" style="63" customWidth="1"/>
    <col min="3852" max="4096" width="11.42578125" style="63"/>
    <col min="4097" max="4097" width="7.28515625" style="63" customWidth="1"/>
    <col min="4098" max="4098" width="37.7109375" style="63" customWidth="1"/>
    <col min="4099" max="4099" width="17.85546875" style="63" customWidth="1"/>
    <col min="4100" max="4100" width="12.28515625" style="63" bestFit="1" customWidth="1"/>
    <col min="4101" max="4101" width="11.42578125" style="63"/>
    <col min="4102" max="4102" width="24.140625" style="63" customWidth="1"/>
    <col min="4103" max="4104" width="11.42578125" style="63"/>
    <col min="4105" max="4105" width="17.140625" style="63" customWidth="1"/>
    <col min="4106" max="4106" width="11.42578125" style="63"/>
    <col min="4107" max="4107" width="30.28515625" style="63" customWidth="1"/>
    <col min="4108" max="4352" width="11.42578125" style="63"/>
    <col min="4353" max="4353" width="7.28515625" style="63" customWidth="1"/>
    <col min="4354" max="4354" width="37.7109375" style="63" customWidth="1"/>
    <col min="4355" max="4355" width="17.85546875" style="63" customWidth="1"/>
    <col min="4356" max="4356" width="12.28515625" style="63" bestFit="1" customWidth="1"/>
    <col min="4357" max="4357" width="11.42578125" style="63"/>
    <col min="4358" max="4358" width="24.140625" style="63" customWidth="1"/>
    <col min="4359" max="4360" width="11.42578125" style="63"/>
    <col min="4361" max="4361" width="17.140625" style="63" customWidth="1"/>
    <col min="4362" max="4362" width="11.42578125" style="63"/>
    <col min="4363" max="4363" width="30.28515625" style="63" customWidth="1"/>
    <col min="4364" max="4608" width="11.42578125" style="63"/>
    <col min="4609" max="4609" width="7.28515625" style="63" customWidth="1"/>
    <col min="4610" max="4610" width="37.7109375" style="63" customWidth="1"/>
    <col min="4611" max="4611" width="17.85546875" style="63" customWidth="1"/>
    <col min="4612" max="4612" width="12.28515625" style="63" bestFit="1" customWidth="1"/>
    <col min="4613" max="4613" width="11.42578125" style="63"/>
    <col min="4614" max="4614" width="24.140625" style="63" customWidth="1"/>
    <col min="4615" max="4616" width="11.42578125" style="63"/>
    <col min="4617" max="4617" width="17.140625" style="63" customWidth="1"/>
    <col min="4618" max="4618" width="11.42578125" style="63"/>
    <col min="4619" max="4619" width="30.28515625" style="63" customWidth="1"/>
    <col min="4620" max="4864" width="11.42578125" style="63"/>
    <col min="4865" max="4865" width="7.28515625" style="63" customWidth="1"/>
    <col min="4866" max="4866" width="37.7109375" style="63" customWidth="1"/>
    <col min="4867" max="4867" width="17.85546875" style="63" customWidth="1"/>
    <col min="4868" max="4868" width="12.28515625" style="63" bestFit="1" customWidth="1"/>
    <col min="4869" max="4869" width="11.42578125" style="63"/>
    <col min="4870" max="4870" width="24.140625" style="63" customWidth="1"/>
    <col min="4871" max="4872" width="11.42578125" style="63"/>
    <col min="4873" max="4873" width="17.140625" style="63" customWidth="1"/>
    <col min="4874" max="4874" width="11.42578125" style="63"/>
    <col min="4875" max="4875" width="30.28515625" style="63" customWidth="1"/>
    <col min="4876" max="5120" width="11.42578125" style="63"/>
    <col min="5121" max="5121" width="7.28515625" style="63" customWidth="1"/>
    <col min="5122" max="5122" width="37.7109375" style="63" customWidth="1"/>
    <col min="5123" max="5123" width="17.85546875" style="63" customWidth="1"/>
    <col min="5124" max="5124" width="12.28515625" style="63" bestFit="1" customWidth="1"/>
    <col min="5125" max="5125" width="11.42578125" style="63"/>
    <col min="5126" max="5126" width="24.140625" style="63" customWidth="1"/>
    <col min="5127" max="5128" width="11.42578125" style="63"/>
    <col min="5129" max="5129" width="17.140625" style="63" customWidth="1"/>
    <col min="5130" max="5130" width="11.42578125" style="63"/>
    <col min="5131" max="5131" width="30.28515625" style="63" customWidth="1"/>
    <col min="5132" max="5376" width="11.42578125" style="63"/>
    <col min="5377" max="5377" width="7.28515625" style="63" customWidth="1"/>
    <col min="5378" max="5378" width="37.7109375" style="63" customWidth="1"/>
    <col min="5379" max="5379" width="17.85546875" style="63" customWidth="1"/>
    <col min="5380" max="5380" width="12.28515625" style="63" bestFit="1" customWidth="1"/>
    <col min="5381" max="5381" width="11.42578125" style="63"/>
    <col min="5382" max="5382" width="24.140625" style="63" customWidth="1"/>
    <col min="5383" max="5384" width="11.42578125" style="63"/>
    <col min="5385" max="5385" width="17.140625" style="63" customWidth="1"/>
    <col min="5386" max="5386" width="11.42578125" style="63"/>
    <col min="5387" max="5387" width="30.28515625" style="63" customWidth="1"/>
    <col min="5388" max="5632" width="11.42578125" style="63"/>
    <col min="5633" max="5633" width="7.28515625" style="63" customWidth="1"/>
    <col min="5634" max="5634" width="37.7109375" style="63" customWidth="1"/>
    <col min="5635" max="5635" width="17.85546875" style="63" customWidth="1"/>
    <col min="5636" max="5636" width="12.28515625" style="63" bestFit="1" customWidth="1"/>
    <col min="5637" max="5637" width="11.42578125" style="63"/>
    <col min="5638" max="5638" width="24.140625" style="63" customWidth="1"/>
    <col min="5639" max="5640" width="11.42578125" style="63"/>
    <col min="5641" max="5641" width="17.140625" style="63" customWidth="1"/>
    <col min="5642" max="5642" width="11.42578125" style="63"/>
    <col min="5643" max="5643" width="30.28515625" style="63" customWidth="1"/>
    <col min="5644" max="5888" width="11.42578125" style="63"/>
    <col min="5889" max="5889" width="7.28515625" style="63" customWidth="1"/>
    <col min="5890" max="5890" width="37.7109375" style="63" customWidth="1"/>
    <col min="5891" max="5891" width="17.85546875" style="63" customWidth="1"/>
    <col min="5892" max="5892" width="12.28515625" style="63" bestFit="1" customWidth="1"/>
    <col min="5893" max="5893" width="11.42578125" style="63"/>
    <col min="5894" max="5894" width="24.140625" style="63" customWidth="1"/>
    <col min="5895" max="5896" width="11.42578125" style="63"/>
    <col min="5897" max="5897" width="17.140625" style="63" customWidth="1"/>
    <col min="5898" max="5898" width="11.42578125" style="63"/>
    <col min="5899" max="5899" width="30.28515625" style="63" customWidth="1"/>
    <col min="5900" max="6144" width="11.42578125" style="63"/>
    <col min="6145" max="6145" width="7.28515625" style="63" customWidth="1"/>
    <col min="6146" max="6146" width="37.7109375" style="63" customWidth="1"/>
    <col min="6147" max="6147" width="17.85546875" style="63" customWidth="1"/>
    <col min="6148" max="6148" width="12.28515625" style="63" bestFit="1" customWidth="1"/>
    <col min="6149" max="6149" width="11.42578125" style="63"/>
    <col min="6150" max="6150" width="24.140625" style="63" customWidth="1"/>
    <col min="6151" max="6152" width="11.42578125" style="63"/>
    <col min="6153" max="6153" width="17.140625" style="63" customWidth="1"/>
    <col min="6154" max="6154" width="11.42578125" style="63"/>
    <col min="6155" max="6155" width="30.28515625" style="63" customWidth="1"/>
    <col min="6156" max="6400" width="11.42578125" style="63"/>
    <col min="6401" max="6401" width="7.28515625" style="63" customWidth="1"/>
    <col min="6402" max="6402" width="37.7109375" style="63" customWidth="1"/>
    <col min="6403" max="6403" width="17.85546875" style="63" customWidth="1"/>
    <col min="6404" max="6404" width="12.28515625" style="63" bestFit="1" customWidth="1"/>
    <col min="6405" max="6405" width="11.42578125" style="63"/>
    <col min="6406" max="6406" width="24.140625" style="63" customWidth="1"/>
    <col min="6407" max="6408" width="11.42578125" style="63"/>
    <col min="6409" max="6409" width="17.140625" style="63" customWidth="1"/>
    <col min="6410" max="6410" width="11.42578125" style="63"/>
    <col min="6411" max="6411" width="30.28515625" style="63" customWidth="1"/>
    <col min="6412" max="6656" width="11.42578125" style="63"/>
    <col min="6657" max="6657" width="7.28515625" style="63" customWidth="1"/>
    <col min="6658" max="6658" width="37.7109375" style="63" customWidth="1"/>
    <col min="6659" max="6659" width="17.85546875" style="63" customWidth="1"/>
    <col min="6660" max="6660" width="12.28515625" style="63" bestFit="1" customWidth="1"/>
    <col min="6661" max="6661" width="11.42578125" style="63"/>
    <col min="6662" max="6662" width="24.140625" style="63" customWidth="1"/>
    <col min="6663" max="6664" width="11.42578125" style="63"/>
    <col min="6665" max="6665" width="17.140625" style="63" customWidth="1"/>
    <col min="6666" max="6666" width="11.42578125" style="63"/>
    <col min="6667" max="6667" width="30.28515625" style="63" customWidth="1"/>
    <col min="6668" max="6912" width="11.42578125" style="63"/>
    <col min="6913" max="6913" width="7.28515625" style="63" customWidth="1"/>
    <col min="6914" max="6914" width="37.7109375" style="63" customWidth="1"/>
    <col min="6915" max="6915" width="17.85546875" style="63" customWidth="1"/>
    <col min="6916" max="6916" width="12.28515625" style="63" bestFit="1" customWidth="1"/>
    <col min="6917" max="6917" width="11.42578125" style="63"/>
    <col min="6918" max="6918" width="24.140625" style="63" customWidth="1"/>
    <col min="6919" max="6920" width="11.42578125" style="63"/>
    <col min="6921" max="6921" width="17.140625" style="63" customWidth="1"/>
    <col min="6922" max="6922" width="11.42578125" style="63"/>
    <col min="6923" max="6923" width="30.28515625" style="63" customWidth="1"/>
    <col min="6924" max="7168" width="11.42578125" style="63"/>
    <col min="7169" max="7169" width="7.28515625" style="63" customWidth="1"/>
    <col min="7170" max="7170" width="37.7109375" style="63" customWidth="1"/>
    <col min="7171" max="7171" width="17.85546875" style="63" customWidth="1"/>
    <col min="7172" max="7172" width="12.28515625" style="63" bestFit="1" customWidth="1"/>
    <col min="7173" max="7173" width="11.42578125" style="63"/>
    <col min="7174" max="7174" width="24.140625" style="63" customWidth="1"/>
    <col min="7175" max="7176" width="11.42578125" style="63"/>
    <col min="7177" max="7177" width="17.140625" style="63" customWidth="1"/>
    <col min="7178" max="7178" width="11.42578125" style="63"/>
    <col min="7179" max="7179" width="30.28515625" style="63" customWidth="1"/>
    <col min="7180" max="7424" width="11.42578125" style="63"/>
    <col min="7425" max="7425" width="7.28515625" style="63" customWidth="1"/>
    <col min="7426" max="7426" width="37.7109375" style="63" customWidth="1"/>
    <col min="7427" max="7427" width="17.85546875" style="63" customWidth="1"/>
    <col min="7428" max="7428" width="12.28515625" style="63" bestFit="1" customWidth="1"/>
    <col min="7429" max="7429" width="11.42578125" style="63"/>
    <col min="7430" max="7430" width="24.140625" style="63" customWidth="1"/>
    <col min="7431" max="7432" width="11.42578125" style="63"/>
    <col min="7433" max="7433" width="17.140625" style="63" customWidth="1"/>
    <col min="7434" max="7434" width="11.42578125" style="63"/>
    <col min="7435" max="7435" width="30.28515625" style="63" customWidth="1"/>
    <col min="7436" max="7680" width="11.42578125" style="63"/>
    <col min="7681" max="7681" width="7.28515625" style="63" customWidth="1"/>
    <col min="7682" max="7682" width="37.7109375" style="63" customWidth="1"/>
    <col min="7683" max="7683" width="17.85546875" style="63" customWidth="1"/>
    <col min="7684" max="7684" width="12.28515625" style="63" bestFit="1" customWidth="1"/>
    <col min="7685" max="7685" width="11.42578125" style="63"/>
    <col min="7686" max="7686" width="24.140625" style="63" customWidth="1"/>
    <col min="7687" max="7688" width="11.42578125" style="63"/>
    <col min="7689" max="7689" width="17.140625" style="63" customWidth="1"/>
    <col min="7690" max="7690" width="11.42578125" style="63"/>
    <col min="7691" max="7691" width="30.28515625" style="63" customWidth="1"/>
    <col min="7692" max="7936" width="11.42578125" style="63"/>
    <col min="7937" max="7937" width="7.28515625" style="63" customWidth="1"/>
    <col min="7938" max="7938" width="37.7109375" style="63" customWidth="1"/>
    <col min="7939" max="7939" width="17.85546875" style="63" customWidth="1"/>
    <col min="7940" max="7940" width="12.28515625" style="63" bestFit="1" customWidth="1"/>
    <col min="7941" max="7941" width="11.42578125" style="63"/>
    <col min="7942" max="7942" width="24.140625" style="63" customWidth="1"/>
    <col min="7943" max="7944" width="11.42578125" style="63"/>
    <col min="7945" max="7945" width="17.140625" style="63" customWidth="1"/>
    <col min="7946" max="7946" width="11.42578125" style="63"/>
    <col min="7947" max="7947" width="30.28515625" style="63" customWidth="1"/>
    <col min="7948" max="8192" width="11.42578125" style="63"/>
    <col min="8193" max="8193" width="7.28515625" style="63" customWidth="1"/>
    <col min="8194" max="8194" width="37.7109375" style="63" customWidth="1"/>
    <col min="8195" max="8195" width="17.85546875" style="63" customWidth="1"/>
    <col min="8196" max="8196" width="12.28515625" style="63" bestFit="1" customWidth="1"/>
    <col min="8197" max="8197" width="11.42578125" style="63"/>
    <col min="8198" max="8198" width="24.140625" style="63" customWidth="1"/>
    <col min="8199" max="8200" width="11.42578125" style="63"/>
    <col min="8201" max="8201" width="17.140625" style="63" customWidth="1"/>
    <col min="8202" max="8202" width="11.42578125" style="63"/>
    <col min="8203" max="8203" width="30.28515625" style="63" customWidth="1"/>
    <col min="8204" max="8448" width="11.42578125" style="63"/>
    <col min="8449" max="8449" width="7.28515625" style="63" customWidth="1"/>
    <col min="8450" max="8450" width="37.7109375" style="63" customWidth="1"/>
    <col min="8451" max="8451" width="17.85546875" style="63" customWidth="1"/>
    <col min="8452" max="8452" width="12.28515625" style="63" bestFit="1" customWidth="1"/>
    <col min="8453" max="8453" width="11.42578125" style="63"/>
    <col min="8454" max="8454" width="24.140625" style="63" customWidth="1"/>
    <col min="8455" max="8456" width="11.42578125" style="63"/>
    <col min="8457" max="8457" width="17.140625" style="63" customWidth="1"/>
    <col min="8458" max="8458" width="11.42578125" style="63"/>
    <col min="8459" max="8459" width="30.28515625" style="63" customWidth="1"/>
    <col min="8460" max="8704" width="11.42578125" style="63"/>
    <col min="8705" max="8705" width="7.28515625" style="63" customWidth="1"/>
    <col min="8706" max="8706" width="37.7109375" style="63" customWidth="1"/>
    <col min="8707" max="8707" width="17.85546875" style="63" customWidth="1"/>
    <col min="8708" max="8708" width="12.28515625" style="63" bestFit="1" customWidth="1"/>
    <col min="8709" max="8709" width="11.42578125" style="63"/>
    <col min="8710" max="8710" width="24.140625" style="63" customWidth="1"/>
    <col min="8711" max="8712" width="11.42578125" style="63"/>
    <col min="8713" max="8713" width="17.140625" style="63" customWidth="1"/>
    <col min="8714" max="8714" width="11.42578125" style="63"/>
    <col min="8715" max="8715" width="30.28515625" style="63" customWidth="1"/>
    <col min="8716" max="8960" width="11.42578125" style="63"/>
    <col min="8961" max="8961" width="7.28515625" style="63" customWidth="1"/>
    <col min="8962" max="8962" width="37.7109375" style="63" customWidth="1"/>
    <col min="8963" max="8963" width="17.85546875" style="63" customWidth="1"/>
    <col min="8964" max="8964" width="12.28515625" style="63" bestFit="1" customWidth="1"/>
    <col min="8965" max="8965" width="11.42578125" style="63"/>
    <col min="8966" max="8966" width="24.140625" style="63" customWidth="1"/>
    <col min="8967" max="8968" width="11.42578125" style="63"/>
    <col min="8969" max="8969" width="17.140625" style="63" customWidth="1"/>
    <col min="8970" max="8970" width="11.42578125" style="63"/>
    <col min="8971" max="8971" width="30.28515625" style="63" customWidth="1"/>
    <col min="8972" max="9216" width="11.42578125" style="63"/>
    <col min="9217" max="9217" width="7.28515625" style="63" customWidth="1"/>
    <col min="9218" max="9218" width="37.7109375" style="63" customWidth="1"/>
    <col min="9219" max="9219" width="17.85546875" style="63" customWidth="1"/>
    <col min="9220" max="9220" width="12.28515625" style="63" bestFit="1" customWidth="1"/>
    <col min="9221" max="9221" width="11.42578125" style="63"/>
    <col min="9222" max="9222" width="24.140625" style="63" customWidth="1"/>
    <col min="9223" max="9224" width="11.42578125" style="63"/>
    <col min="9225" max="9225" width="17.140625" style="63" customWidth="1"/>
    <col min="9226" max="9226" width="11.42578125" style="63"/>
    <col min="9227" max="9227" width="30.28515625" style="63" customWidth="1"/>
    <col min="9228" max="9472" width="11.42578125" style="63"/>
    <col min="9473" max="9473" width="7.28515625" style="63" customWidth="1"/>
    <col min="9474" max="9474" width="37.7109375" style="63" customWidth="1"/>
    <col min="9475" max="9475" width="17.85546875" style="63" customWidth="1"/>
    <col min="9476" max="9476" width="12.28515625" style="63" bestFit="1" customWidth="1"/>
    <col min="9477" max="9477" width="11.42578125" style="63"/>
    <col min="9478" max="9478" width="24.140625" style="63" customWidth="1"/>
    <col min="9479" max="9480" width="11.42578125" style="63"/>
    <col min="9481" max="9481" width="17.140625" style="63" customWidth="1"/>
    <col min="9482" max="9482" width="11.42578125" style="63"/>
    <col min="9483" max="9483" width="30.28515625" style="63" customWidth="1"/>
    <col min="9484" max="9728" width="11.42578125" style="63"/>
    <col min="9729" max="9729" width="7.28515625" style="63" customWidth="1"/>
    <col min="9730" max="9730" width="37.7109375" style="63" customWidth="1"/>
    <col min="9731" max="9731" width="17.85546875" style="63" customWidth="1"/>
    <col min="9732" max="9732" width="12.28515625" style="63" bestFit="1" customWidth="1"/>
    <col min="9733" max="9733" width="11.42578125" style="63"/>
    <col min="9734" max="9734" width="24.140625" style="63" customWidth="1"/>
    <col min="9735" max="9736" width="11.42578125" style="63"/>
    <col min="9737" max="9737" width="17.140625" style="63" customWidth="1"/>
    <col min="9738" max="9738" width="11.42578125" style="63"/>
    <col min="9739" max="9739" width="30.28515625" style="63" customWidth="1"/>
    <col min="9740" max="9984" width="11.42578125" style="63"/>
    <col min="9985" max="9985" width="7.28515625" style="63" customWidth="1"/>
    <col min="9986" max="9986" width="37.7109375" style="63" customWidth="1"/>
    <col min="9987" max="9987" width="17.85546875" style="63" customWidth="1"/>
    <col min="9988" max="9988" width="12.28515625" style="63" bestFit="1" customWidth="1"/>
    <col min="9989" max="9989" width="11.42578125" style="63"/>
    <col min="9990" max="9990" width="24.140625" style="63" customWidth="1"/>
    <col min="9991" max="9992" width="11.42578125" style="63"/>
    <col min="9993" max="9993" width="17.140625" style="63" customWidth="1"/>
    <col min="9994" max="9994" width="11.42578125" style="63"/>
    <col min="9995" max="9995" width="30.28515625" style="63" customWidth="1"/>
    <col min="9996" max="10240" width="11.42578125" style="63"/>
    <col min="10241" max="10241" width="7.28515625" style="63" customWidth="1"/>
    <col min="10242" max="10242" width="37.7109375" style="63" customWidth="1"/>
    <col min="10243" max="10243" width="17.85546875" style="63" customWidth="1"/>
    <col min="10244" max="10244" width="12.28515625" style="63" bestFit="1" customWidth="1"/>
    <col min="10245" max="10245" width="11.42578125" style="63"/>
    <col min="10246" max="10246" width="24.140625" style="63" customWidth="1"/>
    <col min="10247" max="10248" width="11.42578125" style="63"/>
    <col min="10249" max="10249" width="17.140625" style="63" customWidth="1"/>
    <col min="10250" max="10250" width="11.42578125" style="63"/>
    <col min="10251" max="10251" width="30.28515625" style="63" customWidth="1"/>
    <col min="10252" max="10496" width="11.42578125" style="63"/>
    <col min="10497" max="10497" width="7.28515625" style="63" customWidth="1"/>
    <col min="10498" max="10498" width="37.7109375" style="63" customWidth="1"/>
    <col min="10499" max="10499" width="17.85546875" style="63" customWidth="1"/>
    <col min="10500" max="10500" width="12.28515625" style="63" bestFit="1" customWidth="1"/>
    <col min="10501" max="10501" width="11.42578125" style="63"/>
    <col min="10502" max="10502" width="24.140625" style="63" customWidth="1"/>
    <col min="10503" max="10504" width="11.42578125" style="63"/>
    <col min="10505" max="10505" width="17.140625" style="63" customWidth="1"/>
    <col min="10506" max="10506" width="11.42578125" style="63"/>
    <col min="10507" max="10507" width="30.28515625" style="63" customWidth="1"/>
    <col min="10508" max="10752" width="11.42578125" style="63"/>
    <col min="10753" max="10753" width="7.28515625" style="63" customWidth="1"/>
    <col min="10754" max="10754" width="37.7109375" style="63" customWidth="1"/>
    <col min="10755" max="10755" width="17.85546875" style="63" customWidth="1"/>
    <col min="10756" max="10756" width="12.28515625" style="63" bestFit="1" customWidth="1"/>
    <col min="10757" max="10757" width="11.42578125" style="63"/>
    <col min="10758" max="10758" width="24.140625" style="63" customWidth="1"/>
    <col min="10759" max="10760" width="11.42578125" style="63"/>
    <col min="10761" max="10761" width="17.140625" style="63" customWidth="1"/>
    <col min="10762" max="10762" width="11.42578125" style="63"/>
    <col min="10763" max="10763" width="30.28515625" style="63" customWidth="1"/>
    <col min="10764" max="11008" width="11.42578125" style="63"/>
    <col min="11009" max="11009" width="7.28515625" style="63" customWidth="1"/>
    <col min="11010" max="11010" width="37.7109375" style="63" customWidth="1"/>
    <col min="11011" max="11011" width="17.85546875" style="63" customWidth="1"/>
    <col min="11012" max="11012" width="12.28515625" style="63" bestFit="1" customWidth="1"/>
    <col min="11013" max="11013" width="11.42578125" style="63"/>
    <col min="11014" max="11014" width="24.140625" style="63" customWidth="1"/>
    <col min="11015" max="11016" width="11.42578125" style="63"/>
    <col min="11017" max="11017" width="17.140625" style="63" customWidth="1"/>
    <col min="11018" max="11018" width="11.42578125" style="63"/>
    <col min="11019" max="11019" width="30.28515625" style="63" customWidth="1"/>
    <col min="11020" max="11264" width="11.42578125" style="63"/>
    <col min="11265" max="11265" width="7.28515625" style="63" customWidth="1"/>
    <col min="11266" max="11266" width="37.7109375" style="63" customWidth="1"/>
    <col min="11267" max="11267" width="17.85546875" style="63" customWidth="1"/>
    <col min="11268" max="11268" width="12.28515625" style="63" bestFit="1" customWidth="1"/>
    <col min="11269" max="11269" width="11.42578125" style="63"/>
    <col min="11270" max="11270" width="24.140625" style="63" customWidth="1"/>
    <col min="11271" max="11272" width="11.42578125" style="63"/>
    <col min="11273" max="11273" width="17.140625" style="63" customWidth="1"/>
    <col min="11274" max="11274" width="11.42578125" style="63"/>
    <col min="11275" max="11275" width="30.28515625" style="63" customWidth="1"/>
    <col min="11276" max="11520" width="11.42578125" style="63"/>
    <col min="11521" max="11521" width="7.28515625" style="63" customWidth="1"/>
    <col min="11522" max="11522" width="37.7109375" style="63" customWidth="1"/>
    <col min="11523" max="11523" width="17.85546875" style="63" customWidth="1"/>
    <col min="11524" max="11524" width="12.28515625" style="63" bestFit="1" customWidth="1"/>
    <col min="11525" max="11525" width="11.42578125" style="63"/>
    <col min="11526" max="11526" width="24.140625" style="63" customWidth="1"/>
    <col min="11527" max="11528" width="11.42578125" style="63"/>
    <col min="11529" max="11529" width="17.140625" style="63" customWidth="1"/>
    <col min="11530" max="11530" width="11.42578125" style="63"/>
    <col min="11531" max="11531" width="30.28515625" style="63" customWidth="1"/>
    <col min="11532" max="11776" width="11.42578125" style="63"/>
    <col min="11777" max="11777" width="7.28515625" style="63" customWidth="1"/>
    <col min="11778" max="11778" width="37.7109375" style="63" customWidth="1"/>
    <col min="11779" max="11779" width="17.85546875" style="63" customWidth="1"/>
    <col min="11780" max="11780" width="12.28515625" style="63" bestFit="1" customWidth="1"/>
    <col min="11781" max="11781" width="11.42578125" style="63"/>
    <col min="11782" max="11782" width="24.140625" style="63" customWidth="1"/>
    <col min="11783" max="11784" width="11.42578125" style="63"/>
    <col min="11785" max="11785" width="17.140625" style="63" customWidth="1"/>
    <col min="11786" max="11786" width="11.42578125" style="63"/>
    <col min="11787" max="11787" width="30.28515625" style="63" customWidth="1"/>
    <col min="11788" max="12032" width="11.42578125" style="63"/>
    <col min="12033" max="12033" width="7.28515625" style="63" customWidth="1"/>
    <col min="12034" max="12034" width="37.7109375" style="63" customWidth="1"/>
    <col min="12035" max="12035" width="17.85546875" style="63" customWidth="1"/>
    <col min="12036" max="12036" width="12.28515625" style="63" bestFit="1" customWidth="1"/>
    <col min="12037" max="12037" width="11.42578125" style="63"/>
    <col min="12038" max="12038" width="24.140625" style="63" customWidth="1"/>
    <col min="12039" max="12040" width="11.42578125" style="63"/>
    <col min="12041" max="12041" width="17.140625" style="63" customWidth="1"/>
    <col min="12042" max="12042" width="11.42578125" style="63"/>
    <col min="12043" max="12043" width="30.28515625" style="63" customWidth="1"/>
    <col min="12044" max="12288" width="11.42578125" style="63"/>
    <col min="12289" max="12289" width="7.28515625" style="63" customWidth="1"/>
    <col min="12290" max="12290" width="37.7109375" style="63" customWidth="1"/>
    <col min="12291" max="12291" width="17.85546875" style="63" customWidth="1"/>
    <col min="12292" max="12292" width="12.28515625" style="63" bestFit="1" customWidth="1"/>
    <col min="12293" max="12293" width="11.42578125" style="63"/>
    <col min="12294" max="12294" width="24.140625" style="63" customWidth="1"/>
    <col min="12295" max="12296" width="11.42578125" style="63"/>
    <col min="12297" max="12297" width="17.140625" style="63" customWidth="1"/>
    <col min="12298" max="12298" width="11.42578125" style="63"/>
    <col min="12299" max="12299" width="30.28515625" style="63" customWidth="1"/>
    <col min="12300" max="12544" width="11.42578125" style="63"/>
    <col min="12545" max="12545" width="7.28515625" style="63" customWidth="1"/>
    <col min="12546" max="12546" width="37.7109375" style="63" customWidth="1"/>
    <col min="12547" max="12547" width="17.85546875" style="63" customWidth="1"/>
    <col min="12548" max="12548" width="12.28515625" style="63" bestFit="1" customWidth="1"/>
    <col min="12549" max="12549" width="11.42578125" style="63"/>
    <col min="12550" max="12550" width="24.140625" style="63" customWidth="1"/>
    <col min="12551" max="12552" width="11.42578125" style="63"/>
    <col min="12553" max="12553" width="17.140625" style="63" customWidth="1"/>
    <col min="12554" max="12554" width="11.42578125" style="63"/>
    <col min="12555" max="12555" width="30.28515625" style="63" customWidth="1"/>
    <col min="12556" max="12800" width="11.42578125" style="63"/>
    <col min="12801" max="12801" width="7.28515625" style="63" customWidth="1"/>
    <col min="12802" max="12802" width="37.7109375" style="63" customWidth="1"/>
    <col min="12803" max="12803" width="17.85546875" style="63" customWidth="1"/>
    <col min="12804" max="12804" width="12.28515625" style="63" bestFit="1" customWidth="1"/>
    <col min="12805" max="12805" width="11.42578125" style="63"/>
    <col min="12806" max="12806" width="24.140625" style="63" customWidth="1"/>
    <col min="12807" max="12808" width="11.42578125" style="63"/>
    <col min="12809" max="12809" width="17.140625" style="63" customWidth="1"/>
    <col min="12810" max="12810" width="11.42578125" style="63"/>
    <col min="12811" max="12811" width="30.28515625" style="63" customWidth="1"/>
    <col min="12812" max="13056" width="11.42578125" style="63"/>
    <col min="13057" max="13057" width="7.28515625" style="63" customWidth="1"/>
    <col min="13058" max="13058" width="37.7109375" style="63" customWidth="1"/>
    <col min="13059" max="13059" width="17.85546875" style="63" customWidth="1"/>
    <col min="13060" max="13060" width="12.28515625" style="63" bestFit="1" customWidth="1"/>
    <col min="13061" max="13061" width="11.42578125" style="63"/>
    <col min="13062" max="13062" width="24.140625" style="63" customWidth="1"/>
    <col min="13063" max="13064" width="11.42578125" style="63"/>
    <col min="13065" max="13065" width="17.140625" style="63" customWidth="1"/>
    <col min="13066" max="13066" width="11.42578125" style="63"/>
    <col min="13067" max="13067" width="30.28515625" style="63" customWidth="1"/>
    <col min="13068" max="13312" width="11.42578125" style="63"/>
    <col min="13313" max="13313" width="7.28515625" style="63" customWidth="1"/>
    <col min="13314" max="13314" width="37.7109375" style="63" customWidth="1"/>
    <col min="13315" max="13315" width="17.85546875" style="63" customWidth="1"/>
    <col min="13316" max="13316" width="12.28515625" style="63" bestFit="1" customWidth="1"/>
    <col min="13317" max="13317" width="11.42578125" style="63"/>
    <col min="13318" max="13318" width="24.140625" style="63" customWidth="1"/>
    <col min="13319" max="13320" width="11.42578125" style="63"/>
    <col min="13321" max="13321" width="17.140625" style="63" customWidth="1"/>
    <col min="13322" max="13322" width="11.42578125" style="63"/>
    <col min="13323" max="13323" width="30.28515625" style="63" customWidth="1"/>
    <col min="13324" max="13568" width="11.42578125" style="63"/>
    <col min="13569" max="13569" width="7.28515625" style="63" customWidth="1"/>
    <col min="13570" max="13570" width="37.7109375" style="63" customWidth="1"/>
    <col min="13571" max="13571" width="17.85546875" style="63" customWidth="1"/>
    <col min="13572" max="13572" width="12.28515625" style="63" bestFit="1" customWidth="1"/>
    <col min="13573" max="13573" width="11.42578125" style="63"/>
    <col min="13574" max="13574" width="24.140625" style="63" customWidth="1"/>
    <col min="13575" max="13576" width="11.42578125" style="63"/>
    <col min="13577" max="13577" width="17.140625" style="63" customWidth="1"/>
    <col min="13578" max="13578" width="11.42578125" style="63"/>
    <col min="13579" max="13579" width="30.28515625" style="63" customWidth="1"/>
    <col min="13580" max="13824" width="11.42578125" style="63"/>
    <col min="13825" max="13825" width="7.28515625" style="63" customWidth="1"/>
    <col min="13826" max="13826" width="37.7109375" style="63" customWidth="1"/>
    <col min="13827" max="13827" width="17.85546875" style="63" customWidth="1"/>
    <col min="13828" max="13828" width="12.28515625" style="63" bestFit="1" customWidth="1"/>
    <col min="13829" max="13829" width="11.42578125" style="63"/>
    <col min="13830" max="13830" width="24.140625" style="63" customWidth="1"/>
    <col min="13831" max="13832" width="11.42578125" style="63"/>
    <col min="13833" max="13833" width="17.140625" style="63" customWidth="1"/>
    <col min="13834" max="13834" width="11.42578125" style="63"/>
    <col min="13835" max="13835" width="30.28515625" style="63" customWidth="1"/>
    <col min="13836" max="14080" width="11.42578125" style="63"/>
    <col min="14081" max="14081" width="7.28515625" style="63" customWidth="1"/>
    <col min="14082" max="14082" width="37.7109375" style="63" customWidth="1"/>
    <col min="14083" max="14083" width="17.85546875" style="63" customWidth="1"/>
    <col min="14084" max="14084" width="12.28515625" style="63" bestFit="1" customWidth="1"/>
    <col min="14085" max="14085" width="11.42578125" style="63"/>
    <col min="14086" max="14086" width="24.140625" style="63" customWidth="1"/>
    <col min="14087" max="14088" width="11.42578125" style="63"/>
    <col min="14089" max="14089" width="17.140625" style="63" customWidth="1"/>
    <col min="14090" max="14090" width="11.42578125" style="63"/>
    <col min="14091" max="14091" width="30.28515625" style="63" customWidth="1"/>
    <col min="14092" max="14336" width="11.42578125" style="63"/>
    <col min="14337" max="14337" width="7.28515625" style="63" customWidth="1"/>
    <col min="14338" max="14338" width="37.7109375" style="63" customWidth="1"/>
    <col min="14339" max="14339" width="17.85546875" style="63" customWidth="1"/>
    <col min="14340" max="14340" width="12.28515625" style="63" bestFit="1" customWidth="1"/>
    <col min="14341" max="14341" width="11.42578125" style="63"/>
    <col min="14342" max="14342" width="24.140625" style="63" customWidth="1"/>
    <col min="14343" max="14344" width="11.42578125" style="63"/>
    <col min="14345" max="14345" width="17.140625" style="63" customWidth="1"/>
    <col min="14346" max="14346" width="11.42578125" style="63"/>
    <col min="14347" max="14347" width="30.28515625" style="63" customWidth="1"/>
    <col min="14348" max="14592" width="11.42578125" style="63"/>
    <col min="14593" max="14593" width="7.28515625" style="63" customWidth="1"/>
    <col min="14594" max="14594" width="37.7109375" style="63" customWidth="1"/>
    <col min="14595" max="14595" width="17.85546875" style="63" customWidth="1"/>
    <col min="14596" max="14596" width="12.28515625" style="63" bestFit="1" customWidth="1"/>
    <col min="14597" max="14597" width="11.42578125" style="63"/>
    <col min="14598" max="14598" width="24.140625" style="63" customWidth="1"/>
    <col min="14599" max="14600" width="11.42578125" style="63"/>
    <col min="14601" max="14601" width="17.140625" style="63" customWidth="1"/>
    <col min="14602" max="14602" width="11.42578125" style="63"/>
    <col min="14603" max="14603" width="30.28515625" style="63" customWidth="1"/>
    <col min="14604" max="14848" width="11.42578125" style="63"/>
    <col min="14849" max="14849" width="7.28515625" style="63" customWidth="1"/>
    <col min="14850" max="14850" width="37.7109375" style="63" customWidth="1"/>
    <col min="14851" max="14851" width="17.85546875" style="63" customWidth="1"/>
    <col min="14852" max="14852" width="12.28515625" style="63" bestFit="1" customWidth="1"/>
    <col min="14853" max="14853" width="11.42578125" style="63"/>
    <col min="14854" max="14854" width="24.140625" style="63" customWidth="1"/>
    <col min="14855" max="14856" width="11.42578125" style="63"/>
    <col min="14857" max="14857" width="17.140625" style="63" customWidth="1"/>
    <col min="14858" max="14858" width="11.42578125" style="63"/>
    <col min="14859" max="14859" width="30.28515625" style="63" customWidth="1"/>
    <col min="14860" max="15104" width="11.42578125" style="63"/>
    <col min="15105" max="15105" width="7.28515625" style="63" customWidth="1"/>
    <col min="15106" max="15106" width="37.7109375" style="63" customWidth="1"/>
    <col min="15107" max="15107" width="17.85546875" style="63" customWidth="1"/>
    <col min="15108" max="15108" width="12.28515625" style="63" bestFit="1" customWidth="1"/>
    <col min="15109" max="15109" width="11.42578125" style="63"/>
    <col min="15110" max="15110" width="24.140625" style="63" customWidth="1"/>
    <col min="15111" max="15112" width="11.42578125" style="63"/>
    <col min="15113" max="15113" width="17.140625" style="63" customWidth="1"/>
    <col min="15114" max="15114" width="11.42578125" style="63"/>
    <col min="15115" max="15115" width="30.28515625" style="63" customWidth="1"/>
    <col min="15116" max="15360" width="11.42578125" style="63"/>
    <col min="15361" max="15361" width="7.28515625" style="63" customWidth="1"/>
    <col min="15362" max="15362" width="37.7109375" style="63" customWidth="1"/>
    <col min="15363" max="15363" width="17.85546875" style="63" customWidth="1"/>
    <col min="15364" max="15364" width="12.28515625" style="63" bestFit="1" customWidth="1"/>
    <col min="15365" max="15365" width="11.42578125" style="63"/>
    <col min="15366" max="15366" width="24.140625" style="63" customWidth="1"/>
    <col min="15367" max="15368" width="11.42578125" style="63"/>
    <col min="15369" max="15369" width="17.140625" style="63" customWidth="1"/>
    <col min="15370" max="15370" width="11.42578125" style="63"/>
    <col min="15371" max="15371" width="30.28515625" style="63" customWidth="1"/>
    <col min="15372" max="15616" width="11.42578125" style="63"/>
    <col min="15617" max="15617" width="7.28515625" style="63" customWidth="1"/>
    <col min="15618" max="15618" width="37.7109375" style="63" customWidth="1"/>
    <col min="15619" max="15619" width="17.85546875" style="63" customWidth="1"/>
    <col min="15620" max="15620" width="12.28515625" style="63" bestFit="1" customWidth="1"/>
    <col min="15621" max="15621" width="11.42578125" style="63"/>
    <col min="15622" max="15622" width="24.140625" style="63" customWidth="1"/>
    <col min="15623" max="15624" width="11.42578125" style="63"/>
    <col min="15625" max="15625" width="17.140625" style="63" customWidth="1"/>
    <col min="15626" max="15626" width="11.42578125" style="63"/>
    <col min="15627" max="15627" width="30.28515625" style="63" customWidth="1"/>
    <col min="15628" max="15872" width="11.42578125" style="63"/>
    <col min="15873" max="15873" width="7.28515625" style="63" customWidth="1"/>
    <col min="15874" max="15874" width="37.7109375" style="63" customWidth="1"/>
    <col min="15875" max="15875" width="17.85546875" style="63" customWidth="1"/>
    <col min="15876" max="15876" width="12.28515625" style="63" bestFit="1" customWidth="1"/>
    <col min="15877" max="15877" width="11.42578125" style="63"/>
    <col min="15878" max="15878" width="24.140625" style="63" customWidth="1"/>
    <col min="15879" max="15880" width="11.42578125" style="63"/>
    <col min="15881" max="15881" width="17.140625" style="63" customWidth="1"/>
    <col min="15882" max="15882" width="11.42578125" style="63"/>
    <col min="15883" max="15883" width="30.28515625" style="63" customWidth="1"/>
    <col min="15884" max="16128" width="11.42578125" style="63"/>
    <col min="16129" max="16129" width="7.28515625" style="63" customWidth="1"/>
    <col min="16130" max="16130" width="37.7109375" style="63" customWidth="1"/>
    <col min="16131" max="16131" width="17.85546875" style="63" customWidth="1"/>
    <col min="16132" max="16132" width="12.28515625" style="63" bestFit="1" customWidth="1"/>
    <col min="16133" max="16133" width="11.42578125" style="63"/>
    <col min="16134" max="16134" width="24.140625" style="63" customWidth="1"/>
    <col min="16135" max="16136" width="11.42578125" style="63"/>
    <col min="16137" max="16137" width="17.140625" style="63" customWidth="1"/>
    <col min="16138" max="16138" width="11.42578125" style="63"/>
    <col min="16139" max="16139" width="30.28515625" style="63" customWidth="1"/>
    <col min="16140" max="16384" width="11.42578125" style="63"/>
  </cols>
  <sheetData>
    <row r="1" spans="1:6" x14ac:dyDescent="0.2">
      <c r="B1" s="15" t="s">
        <v>671</v>
      </c>
    </row>
    <row r="2" spans="1:6" x14ac:dyDescent="0.2">
      <c r="A2" s="248"/>
      <c r="B2" s="69" t="s">
        <v>62</v>
      </c>
      <c r="C2" s="71"/>
      <c r="D2" s="53"/>
      <c r="E2" s="61"/>
    </row>
    <row r="3" spans="1:6" x14ac:dyDescent="0.2">
      <c r="A3" s="248"/>
      <c r="B3" s="69" t="s">
        <v>326</v>
      </c>
      <c r="C3" s="71"/>
      <c r="D3" s="76">
        <v>0.8</v>
      </c>
      <c r="E3" s="60" t="s">
        <v>64</v>
      </c>
      <c r="F3" s="77"/>
    </row>
    <row r="4" spans="1:6" x14ac:dyDescent="0.2">
      <c r="A4" s="248"/>
      <c r="B4" s="69"/>
      <c r="C4" s="71"/>
      <c r="D4" s="73">
        <f>86.4*D3</f>
        <v>69.12</v>
      </c>
      <c r="E4" s="61" t="s">
        <v>63</v>
      </c>
      <c r="F4" s="77"/>
    </row>
    <row r="5" spans="1:6" x14ac:dyDescent="0.2">
      <c r="A5" s="248"/>
      <c r="B5" s="69" t="s">
        <v>198</v>
      </c>
      <c r="C5" s="53"/>
      <c r="D5" s="21">
        <v>2.5</v>
      </c>
      <c r="E5" s="61" t="s">
        <v>85</v>
      </c>
      <c r="F5" s="77"/>
    </row>
    <row r="6" spans="1:6" x14ac:dyDescent="0.2">
      <c r="A6" s="248"/>
      <c r="B6" s="22" t="s">
        <v>199</v>
      </c>
      <c r="C6" s="53"/>
      <c r="D6" s="21">
        <v>0.5</v>
      </c>
      <c r="E6" s="23" t="s">
        <v>85</v>
      </c>
      <c r="F6" s="77"/>
    </row>
    <row r="7" spans="1:6" x14ac:dyDescent="0.2">
      <c r="A7" s="248"/>
      <c r="B7" s="22" t="s">
        <v>660</v>
      </c>
      <c r="C7" s="53"/>
      <c r="D7" s="21">
        <v>6</v>
      </c>
      <c r="E7" s="23" t="s">
        <v>129</v>
      </c>
      <c r="F7" s="77"/>
    </row>
    <row r="8" spans="1:6" x14ac:dyDescent="0.2">
      <c r="A8" s="248"/>
      <c r="B8" s="22" t="s">
        <v>661</v>
      </c>
      <c r="C8" s="53"/>
      <c r="D8" s="21">
        <v>2</v>
      </c>
      <c r="E8" s="23" t="s">
        <v>64</v>
      </c>
      <c r="F8" s="77" t="s">
        <v>662</v>
      </c>
    </row>
    <row r="9" spans="1:6" x14ac:dyDescent="0.2">
      <c r="A9" s="248"/>
      <c r="B9" s="22" t="s">
        <v>663</v>
      </c>
      <c r="C9" s="53"/>
      <c r="D9" s="24">
        <v>2</v>
      </c>
      <c r="E9" s="23" t="s">
        <v>201</v>
      </c>
      <c r="F9" s="77"/>
    </row>
    <row r="10" spans="1:6" x14ac:dyDescent="0.2">
      <c r="A10" s="248"/>
      <c r="B10" s="22" t="s">
        <v>664</v>
      </c>
      <c r="C10" s="53"/>
      <c r="D10" s="21">
        <f>D9*0.73*1.35</f>
        <v>1.9710000000000001</v>
      </c>
      <c r="E10" s="23" t="s">
        <v>84</v>
      </c>
      <c r="F10" s="77"/>
    </row>
    <row r="11" spans="1:6" x14ac:dyDescent="0.2">
      <c r="A11" s="248"/>
      <c r="B11" s="22" t="s">
        <v>665</v>
      </c>
      <c r="C11" s="53"/>
      <c r="D11" s="21">
        <f>100*0.001*D39/D10</f>
        <v>0.46676813800101474</v>
      </c>
      <c r="E11" s="23" t="s">
        <v>666</v>
      </c>
      <c r="F11" s="77"/>
    </row>
    <row r="12" spans="1:6" x14ac:dyDescent="0.2">
      <c r="A12" s="248"/>
      <c r="B12" s="25" t="s">
        <v>220</v>
      </c>
      <c r="C12" s="53"/>
      <c r="D12" s="21"/>
      <c r="E12" s="23"/>
      <c r="F12" s="77"/>
    </row>
    <row r="13" spans="1:6" x14ac:dyDescent="0.2">
      <c r="A13" s="248"/>
      <c r="B13" s="22" t="s">
        <v>200</v>
      </c>
      <c r="C13" s="53"/>
      <c r="D13" s="24">
        <v>12</v>
      </c>
      <c r="E13" s="23" t="s">
        <v>201</v>
      </c>
      <c r="F13" s="77"/>
    </row>
    <row r="14" spans="1:6" x14ac:dyDescent="0.2">
      <c r="A14" s="248"/>
      <c r="B14" s="69" t="s">
        <v>202</v>
      </c>
      <c r="C14" s="53"/>
      <c r="D14" s="52">
        <f>D13*D6</f>
        <v>6</v>
      </c>
      <c r="E14" s="61" t="s">
        <v>85</v>
      </c>
      <c r="F14" s="77"/>
    </row>
    <row r="15" spans="1:6" x14ac:dyDescent="0.2">
      <c r="A15" s="248"/>
      <c r="B15" s="22" t="s">
        <v>217</v>
      </c>
      <c r="C15" s="53"/>
      <c r="D15" s="52">
        <v>1.4</v>
      </c>
      <c r="E15" s="23" t="s">
        <v>85</v>
      </c>
      <c r="F15" s="77"/>
    </row>
    <row r="16" spans="1:6" x14ac:dyDescent="0.2">
      <c r="A16" s="248"/>
      <c r="B16" s="69" t="s">
        <v>205</v>
      </c>
      <c r="C16" s="71"/>
      <c r="D16" s="52">
        <f>1*0.68*0.45+1*0.5*2*0.45*0.91+2.5*(D15-0.45)</f>
        <v>3.0905</v>
      </c>
      <c r="E16" s="61" t="s">
        <v>84</v>
      </c>
      <c r="F16" s="77"/>
    </row>
    <row r="17" spans="1:10" x14ac:dyDescent="0.2">
      <c r="A17" s="248"/>
      <c r="B17" s="69" t="s">
        <v>218</v>
      </c>
      <c r="C17" s="53"/>
      <c r="D17" s="52">
        <f>D16*D14</f>
        <v>18.542999999999999</v>
      </c>
      <c r="E17" s="61" t="s">
        <v>80</v>
      </c>
      <c r="F17" s="77"/>
    </row>
    <row r="18" spans="1:10" x14ac:dyDescent="0.2">
      <c r="A18" s="248"/>
      <c r="B18" s="69" t="s">
        <v>219</v>
      </c>
      <c r="C18" s="71"/>
      <c r="D18" s="21">
        <f>D17/(0.001*D3*3600)</f>
        <v>6.4385416666666657</v>
      </c>
      <c r="E18" s="23" t="s">
        <v>100</v>
      </c>
      <c r="F18" s="77"/>
    </row>
    <row r="19" spans="1:10" x14ac:dyDescent="0.2">
      <c r="A19" s="248"/>
      <c r="B19" s="100" t="s">
        <v>367</v>
      </c>
      <c r="D19" s="77"/>
      <c r="F19" s="77"/>
    </row>
    <row r="20" spans="1:10" x14ac:dyDescent="0.2">
      <c r="A20" s="248"/>
      <c r="B20" s="69" t="s">
        <v>365</v>
      </c>
      <c r="C20" s="71"/>
      <c r="D20" s="73">
        <f>D29</f>
        <v>0.5</v>
      </c>
      <c r="E20" s="61" t="s">
        <v>67</v>
      </c>
      <c r="F20" s="77" t="s">
        <v>354</v>
      </c>
      <c r="G20" s="63" t="s">
        <v>182</v>
      </c>
      <c r="H20" s="77" t="s">
        <v>359</v>
      </c>
      <c r="I20" s="63" t="s">
        <v>366</v>
      </c>
    </row>
    <row r="21" spans="1:10" x14ac:dyDescent="0.2">
      <c r="A21" s="248"/>
      <c r="B21" s="69"/>
      <c r="C21" s="71"/>
      <c r="D21" s="73">
        <f>D20*60</f>
        <v>30</v>
      </c>
      <c r="E21" s="61" t="s">
        <v>223</v>
      </c>
      <c r="F21" s="77" t="s">
        <v>355</v>
      </c>
      <c r="G21" s="63" t="s">
        <v>356</v>
      </c>
    </row>
    <row r="22" spans="1:10" x14ac:dyDescent="0.2">
      <c r="A22" s="248"/>
      <c r="B22" s="69" t="s">
        <v>357</v>
      </c>
      <c r="C22" s="71"/>
      <c r="D22" s="95">
        <v>0.02</v>
      </c>
      <c r="E22" s="61" t="s">
        <v>253</v>
      </c>
      <c r="F22" s="77"/>
    </row>
    <row r="23" spans="1:10" x14ac:dyDescent="0.2">
      <c r="A23" s="248"/>
      <c r="B23" s="69" t="s">
        <v>358</v>
      </c>
      <c r="C23" s="71"/>
      <c r="D23" s="52">
        <v>1.05</v>
      </c>
      <c r="E23" s="61"/>
      <c r="F23" s="77" t="s">
        <v>359</v>
      </c>
      <c r="G23" s="63" t="s">
        <v>360</v>
      </c>
    </row>
    <row r="24" spans="1:10" x14ac:dyDescent="0.2">
      <c r="A24" s="248"/>
      <c r="B24" s="69" t="s">
        <v>361</v>
      </c>
      <c r="C24" s="71"/>
      <c r="D24" s="95">
        <f>(10*9.8*(D23-1)*D22*0.001/3)^0.5</f>
        <v>5.7154760664940851E-3</v>
      </c>
      <c r="E24" s="61" t="s">
        <v>131</v>
      </c>
      <c r="F24" s="77" t="s">
        <v>359</v>
      </c>
      <c r="G24" s="77" t="s">
        <v>362</v>
      </c>
    </row>
    <row r="25" spans="1:10" x14ac:dyDescent="0.2">
      <c r="A25" s="248"/>
      <c r="B25" s="69" t="s">
        <v>363</v>
      </c>
      <c r="C25" s="71"/>
      <c r="D25" s="52">
        <f>D15</f>
        <v>1.4</v>
      </c>
      <c r="E25" s="61" t="s">
        <v>85</v>
      </c>
      <c r="F25" s="77"/>
    </row>
    <row r="26" spans="1:10" x14ac:dyDescent="0.2">
      <c r="A26" s="248"/>
      <c r="B26" s="69" t="s">
        <v>364</v>
      </c>
      <c r="C26" s="71"/>
      <c r="D26" s="52">
        <f>D25/(D24*60)</f>
        <v>4.0824829046386277</v>
      </c>
      <c r="E26" s="61" t="s">
        <v>223</v>
      </c>
      <c r="F26" s="77"/>
    </row>
    <row r="27" spans="1:10" x14ac:dyDescent="0.2">
      <c r="A27" s="248"/>
      <c r="B27" s="17" t="s">
        <v>65</v>
      </c>
      <c r="C27" s="63"/>
      <c r="D27" s="77"/>
    </row>
    <row r="28" spans="1:10" x14ac:dyDescent="0.2">
      <c r="A28" s="248"/>
      <c r="B28" s="69" t="s">
        <v>72</v>
      </c>
      <c r="C28" s="71" t="s">
        <v>73</v>
      </c>
      <c r="D28" s="52">
        <f>F28/60</f>
        <v>0.1</v>
      </c>
      <c r="E28" s="61" t="s">
        <v>67</v>
      </c>
      <c r="F28" s="74">
        <v>6</v>
      </c>
      <c r="G28" s="63" t="s">
        <v>223</v>
      </c>
    </row>
    <row r="29" spans="1:10" x14ac:dyDescent="0.2">
      <c r="A29" s="248"/>
      <c r="B29" s="69" t="s">
        <v>204</v>
      </c>
      <c r="C29" s="71" t="s">
        <v>66</v>
      </c>
      <c r="D29" s="52">
        <f>F29/60</f>
        <v>0.5</v>
      </c>
      <c r="E29" s="61" t="s">
        <v>67</v>
      </c>
      <c r="F29" s="74">
        <v>30</v>
      </c>
      <c r="G29" s="63" t="s">
        <v>223</v>
      </c>
      <c r="H29" s="63" t="s">
        <v>691</v>
      </c>
      <c r="I29" s="77" t="s">
        <v>359</v>
      </c>
      <c r="J29" s="63" t="s">
        <v>692</v>
      </c>
    </row>
    <row r="30" spans="1:10" x14ac:dyDescent="0.2">
      <c r="A30" s="248"/>
      <c r="B30" s="69" t="s">
        <v>68</v>
      </c>
      <c r="C30" s="71" t="s">
        <v>69</v>
      </c>
      <c r="D30" s="52">
        <f>F30/60</f>
        <v>0.5</v>
      </c>
      <c r="E30" s="61" t="s">
        <v>67</v>
      </c>
      <c r="F30" s="74">
        <v>30</v>
      </c>
      <c r="G30" s="63" t="s">
        <v>223</v>
      </c>
    </row>
    <row r="31" spans="1:10" x14ac:dyDescent="0.2">
      <c r="A31" s="248"/>
      <c r="B31" s="69" t="s">
        <v>697</v>
      </c>
      <c r="C31" s="71" t="s">
        <v>71</v>
      </c>
      <c r="D31" s="52">
        <v>0.05</v>
      </c>
      <c r="E31" s="61" t="s">
        <v>67</v>
      </c>
      <c r="F31" s="74">
        <f>D31*60</f>
        <v>3</v>
      </c>
      <c r="G31" s="63" t="s">
        <v>223</v>
      </c>
      <c r="H31" s="101">
        <f>(D30+D31)/D32</f>
        <v>0.47826086956521735</v>
      </c>
      <c r="I31" s="63" t="s">
        <v>703</v>
      </c>
    </row>
    <row r="32" spans="1:10" x14ac:dyDescent="0.2">
      <c r="A32" s="248"/>
      <c r="B32" s="69" t="s">
        <v>74</v>
      </c>
      <c r="C32" s="71" t="s">
        <v>75</v>
      </c>
      <c r="D32" s="52">
        <f>SUM(D28:D31)</f>
        <v>1.1500000000000001</v>
      </c>
      <c r="E32" s="61" t="s">
        <v>67</v>
      </c>
      <c r="G32" s="63" t="s">
        <v>76</v>
      </c>
    </row>
    <row r="33" spans="1:8" x14ac:dyDescent="0.2">
      <c r="A33" s="248"/>
      <c r="B33" s="69" t="s">
        <v>77</v>
      </c>
      <c r="C33" s="71"/>
      <c r="D33" s="52">
        <f>(24/D32)</f>
        <v>20.869565217391301</v>
      </c>
      <c r="E33" s="61" t="s">
        <v>651</v>
      </c>
    </row>
    <row r="34" spans="1:8" x14ac:dyDescent="0.2">
      <c r="A34" s="248"/>
      <c r="B34" s="69" t="s">
        <v>78</v>
      </c>
      <c r="C34" s="71" t="s">
        <v>79</v>
      </c>
      <c r="D34" s="52">
        <f>D4/D33</f>
        <v>3.3120000000000007</v>
      </c>
      <c r="E34" s="61" t="s">
        <v>80</v>
      </c>
      <c r="F34" s="63">
        <f>'[3]Estruc 5Lps'!C16</f>
        <v>35.64</v>
      </c>
      <c r="G34" s="63" t="s">
        <v>81</v>
      </c>
    </row>
    <row r="35" spans="1:8" x14ac:dyDescent="0.2">
      <c r="A35" s="248"/>
      <c r="B35" s="17" t="s">
        <v>670</v>
      </c>
      <c r="C35" s="63"/>
      <c r="D35" s="77"/>
      <c r="G35" s="63" t="s">
        <v>82</v>
      </c>
      <c r="H35" s="89"/>
    </row>
    <row r="36" spans="1:8" x14ac:dyDescent="0.2">
      <c r="A36" s="248"/>
      <c r="B36" s="102" t="s">
        <v>83</v>
      </c>
      <c r="C36" s="53"/>
      <c r="D36" s="52">
        <f>0.001*D3*D32*3600</f>
        <v>3.3120000000000003</v>
      </c>
      <c r="E36" s="61" t="s">
        <v>80</v>
      </c>
      <c r="H36" s="89"/>
    </row>
    <row r="37" spans="1:8" x14ac:dyDescent="0.2">
      <c r="A37" s="248"/>
      <c r="B37" s="69" t="s">
        <v>203</v>
      </c>
      <c r="C37" s="53"/>
      <c r="D37" s="52">
        <f>D14*D5</f>
        <v>15</v>
      </c>
      <c r="E37" s="61" t="s">
        <v>84</v>
      </c>
      <c r="H37" s="89"/>
    </row>
    <row r="38" spans="1:8" x14ac:dyDescent="0.2">
      <c r="A38" s="248"/>
      <c r="B38" s="69" t="s">
        <v>86</v>
      </c>
      <c r="C38" s="53"/>
      <c r="D38" s="76">
        <f>D36/D37</f>
        <v>0.22080000000000002</v>
      </c>
      <c r="E38" s="61" t="s">
        <v>85</v>
      </c>
    </row>
    <row r="39" spans="1:8" x14ac:dyDescent="0.2">
      <c r="A39" s="248"/>
      <c r="B39" s="102" t="s">
        <v>87</v>
      </c>
      <c r="C39" s="53"/>
      <c r="D39" s="52">
        <f>1000*D36/(3600*D28)</f>
        <v>9.2000000000000011</v>
      </c>
      <c r="E39" s="61" t="s">
        <v>64</v>
      </c>
    </row>
    <row r="40" spans="1:8" x14ac:dyDescent="0.2">
      <c r="A40" s="248"/>
      <c r="B40" s="69" t="s">
        <v>88</v>
      </c>
      <c r="C40" s="53"/>
      <c r="D40" s="52">
        <v>0.6</v>
      </c>
      <c r="E40" s="61" t="s">
        <v>85</v>
      </c>
    </row>
    <row r="41" spans="1:8" x14ac:dyDescent="0.2">
      <c r="A41" s="248"/>
      <c r="B41" s="69" t="s">
        <v>89</v>
      </c>
      <c r="C41" s="53"/>
      <c r="D41" s="52">
        <v>0.1</v>
      </c>
      <c r="E41" s="61" t="s">
        <v>85</v>
      </c>
    </row>
    <row r="42" spans="1:8" x14ac:dyDescent="0.2">
      <c r="A42" s="248"/>
      <c r="B42" s="69" t="s">
        <v>90</v>
      </c>
      <c r="C42" s="53"/>
      <c r="D42" s="52">
        <v>0.1</v>
      </c>
      <c r="E42" s="61" t="s">
        <v>85</v>
      </c>
    </row>
    <row r="43" spans="1:8" x14ac:dyDescent="0.2">
      <c r="A43" s="248"/>
      <c r="B43" s="69" t="s">
        <v>91</v>
      </c>
      <c r="C43" s="53"/>
      <c r="D43" s="52">
        <f>D42+D41+D40+D38</f>
        <v>1.0208000000000002</v>
      </c>
      <c r="E43" s="61" t="s">
        <v>85</v>
      </c>
    </row>
    <row r="44" spans="1:8" x14ac:dyDescent="0.2">
      <c r="A44" s="248"/>
      <c r="B44" s="69" t="s">
        <v>92</v>
      </c>
      <c r="C44" s="53"/>
      <c r="D44" s="52">
        <v>0.2</v>
      </c>
      <c r="E44" s="61" t="s">
        <v>85</v>
      </c>
    </row>
    <row r="45" spans="1:8" x14ac:dyDescent="0.2">
      <c r="A45" s="248"/>
      <c r="B45" s="69" t="s">
        <v>217</v>
      </c>
      <c r="C45" s="53"/>
      <c r="D45" s="52">
        <f>D15</f>
        <v>1.4</v>
      </c>
      <c r="E45" s="61" t="s">
        <v>85</v>
      </c>
    </row>
    <row r="46" spans="1:8" x14ac:dyDescent="0.2">
      <c r="A46" s="248"/>
      <c r="B46" s="69" t="s">
        <v>205</v>
      </c>
      <c r="C46" s="71"/>
      <c r="D46" s="52">
        <f>0.68*1+1*0.5*(2.5-0.68)+2.5*(D45-1)</f>
        <v>2.59</v>
      </c>
      <c r="E46" s="61" t="s">
        <v>84</v>
      </c>
    </row>
    <row r="47" spans="1:8" x14ac:dyDescent="0.2">
      <c r="A47" s="248"/>
      <c r="B47" s="69" t="s">
        <v>206</v>
      </c>
      <c r="C47" s="71"/>
      <c r="D47" s="52">
        <f>D46*D14</f>
        <v>15.54</v>
      </c>
      <c r="E47" s="61" t="s">
        <v>80</v>
      </c>
    </row>
    <row r="48" spans="1:8" x14ac:dyDescent="0.2">
      <c r="A48" s="248"/>
      <c r="B48" s="25" t="s">
        <v>222</v>
      </c>
      <c r="C48" s="53"/>
      <c r="D48" s="21"/>
      <c r="E48" s="23"/>
    </row>
    <row r="49" spans="1:6" x14ac:dyDescent="0.2">
      <c r="A49" s="248"/>
      <c r="B49" s="22" t="s">
        <v>200</v>
      </c>
      <c r="C49" s="53"/>
      <c r="D49" s="24">
        <v>8</v>
      </c>
      <c r="E49" s="23" t="s">
        <v>201</v>
      </c>
    </row>
    <row r="50" spans="1:6" x14ac:dyDescent="0.2">
      <c r="A50" s="248"/>
      <c r="B50" s="69" t="s">
        <v>202</v>
      </c>
      <c r="C50" s="53"/>
      <c r="D50" s="52">
        <f>D49*D6</f>
        <v>4</v>
      </c>
      <c r="E50" s="61" t="s">
        <v>85</v>
      </c>
    </row>
    <row r="51" spans="1:6" x14ac:dyDescent="0.2">
      <c r="A51" s="248"/>
      <c r="B51" s="22" t="s">
        <v>217</v>
      </c>
      <c r="C51" s="53"/>
      <c r="D51" s="52">
        <v>1.52</v>
      </c>
      <c r="E51" s="23" t="s">
        <v>85</v>
      </c>
    </row>
    <row r="52" spans="1:6" x14ac:dyDescent="0.2">
      <c r="A52" s="248"/>
      <c r="B52" s="22" t="s">
        <v>667</v>
      </c>
      <c r="C52" s="53"/>
      <c r="D52" s="52">
        <f>D51-D15</f>
        <v>0.12000000000000011</v>
      </c>
      <c r="E52" s="23" t="s">
        <v>85</v>
      </c>
    </row>
    <row r="53" spans="1:6" x14ac:dyDescent="0.2">
      <c r="A53" s="248"/>
      <c r="B53" s="69" t="s">
        <v>221</v>
      </c>
      <c r="C53" s="53"/>
      <c r="D53" s="52">
        <f>D50*D16+D5*D52*D50</f>
        <v>13.562000000000001</v>
      </c>
      <c r="E53" s="61" t="s">
        <v>80</v>
      </c>
    </row>
    <row r="54" spans="1:6" x14ac:dyDescent="0.2">
      <c r="A54" s="248"/>
      <c r="B54" s="69" t="s">
        <v>93</v>
      </c>
      <c r="C54" s="53"/>
      <c r="D54" s="52">
        <f>D36</f>
        <v>3.3120000000000003</v>
      </c>
      <c r="E54" s="61" t="s">
        <v>80</v>
      </c>
    </row>
    <row r="55" spans="1:6" x14ac:dyDescent="0.2">
      <c r="A55" s="248"/>
      <c r="B55" s="69" t="s">
        <v>668</v>
      </c>
      <c r="C55" s="53"/>
      <c r="D55" s="52">
        <f>D54/(D5*D50)</f>
        <v>0.33120000000000005</v>
      </c>
      <c r="E55" s="61" t="s">
        <v>85</v>
      </c>
      <c r="F55" s="89"/>
    </row>
    <row r="56" spans="1:6" x14ac:dyDescent="0.2">
      <c r="A56" s="248"/>
      <c r="B56" s="69" t="s">
        <v>669</v>
      </c>
      <c r="C56" s="53"/>
      <c r="D56" s="52">
        <v>1</v>
      </c>
      <c r="E56" s="61" t="s">
        <v>85</v>
      </c>
      <c r="F56" s="89"/>
    </row>
    <row r="57" spans="1:6" x14ac:dyDescent="0.2">
      <c r="A57" s="248"/>
      <c r="B57" s="25" t="s">
        <v>368</v>
      </c>
      <c r="C57" s="53"/>
      <c r="D57" s="21"/>
      <c r="E57" s="23"/>
      <c r="F57" s="77"/>
    </row>
    <row r="58" spans="1:6" x14ac:dyDescent="0.2">
      <c r="A58" s="248"/>
      <c r="B58" s="69" t="s">
        <v>324</v>
      </c>
      <c r="C58" s="71"/>
      <c r="D58" s="80">
        <v>80</v>
      </c>
      <c r="E58" s="60" t="s">
        <v>95</v>
      </c>
    </row>
    <row r="59" spans="1:6" x14ac:dyDescent="0.2">
      <c r="A59" s="248"/>
      <c r="B59" s="69"/>
      <c r="C59" s="71"/>
      <c r="D59" s="53">
        <f>D58/(1000000)</f>
        <v>8.0000000000000007E-5</v>
      </c>
      <c r="E59" s="61" t="s">
        <v>325</v>
      </c>
    </row>
    <row r="60" spans="1:6" x14ac:dyDescent="0.2">
      <c r="A60" s="248"/>
      <c r="B60" s="69" t="s">
        <v>338</v>
      </c>
      <c r="C60" s="53"/>
      <c r="D60" s="81">
        <v>1</v>
      </c>
      <c r="E60" s="62"/>
    </row>
    <row r="61" spans="1:6" x14ac:dyDescent="0.2">
      <c r="A61" s="248"/>
      <c r="B61" s="69" t="s">
        <v>337</v>
      </c>
      <c r="C61" s="71"/>
      <c r="D61" s="52">
        <f>0.001*D58*D3*86.4</f>
        <v>5.5296000000000003</v>
      </c>
      <c r="E61" s="61" t="s">
        <v>242</v>
      </c>
    </row>
    <row r="62" spans="1:6" x14ac:dyDescent="0.2">
      <c r="A62" s="248"/>
      <c r="B62" s="69" t="s">
        <v>339</v>
      </c>
      <c r="C62" s="71"/>
      <c r="D62" s="52">
        <f>D61*D60</f>
        <v>5.5296000000000003</v>
      </c>
      <c r="E62" s="61" t="s">
        <v>242</v>
      </c>
    </row>
    <row r="63" spans="1:6" x14ac:dyDescent="0.2">
      <c r="A63" s="248"/>
      <c r="B63" s="69" t="s">
        <v>340</v>
      </c>
      <c r="C63" s="53"/>
      <c r="D63" s="79">
        <v>6</v>
      </c>
      <c r="E63" s="62" t="s">
        <v>95</v>
      </c>
    </row>
    <row r="64" spans="1:6" x14ac:dyDescent="0.2">
      <c r="A64" s="248"/>
      <c r="B64" s="69" t="s">
        <v>341</v>
      </c>
      <c r="C64" s="53"/>
      <c r="D64" s="146">
        <v>0</v>
      </c>
      <c r="E64" s="62" t="s">
        <v>95</v>
      </c>
    </row>
    <row r="65" spans="1:6" x14ac:dyDescent="0.2">
      <c r="A65" s="248"/>
      <c r="B65" s="69" t="s">
        <v>236</v>
      </c>
      <c r="C65" s="53"/>
      <c r="D65" s="73">
        <f>D63-D64</f>
        <v>6</v>
      </c>
      <c r="E65" s="62" t="s">
        <v>95</v>
      </c>
    </row>
    <row r="66" spans="1:6" x14ac:dyDescent="0.2">
      <c r="A66" s="248"/>
      <c r="B66" s="69" t="s">
        <v>237</v>
      </c>
      <c r="C66" s="53"/>
      <c r="D66" s="81">
        <f>(D63-D64)/D63</f>
        <v>1</v>
      </c>
      <c r="E66" s="62"/>
    </row>
    <row r="67" spans="1:6" x14ac:dyDescent="0.2">
      <c r="A67" s="248"/>
      <c r="B67" s="69" t="s">
        <v>238</v>
      </c>
      <c r="C67" s="53"/>
      <c r="D67" s="52">
        <f>0.001*D63*D3*86.4</f>
        <v>0.41472000000000009</v>
      </c>
      <c r="E67" s="62" t="s">
        <v>239</v>
      </c>
    </row>
    <row r="68" spans="1:6" x14ac:dyDescent="0.2">
      <c r="A68" s="248"/>
      <c r="B68" s="69" t="s">
        <v>240</v>
      </c>
      <c r="C68" s="53"/>
      <c r="D68" s="52">
        <f>D67*D66</f>
        <v>0.41472000000000009</v>
      </c>
      <c r="E68" s="62" t="s">
        <v>241</v>
      </c>
    </row>
    <row r="69" spans="1:6" x14ac:dyDescent="0.2">
      <c r="A69" s="248"/>
      <c r="B69" s="69" t="s">
        <v>648</v>
      </c>
      <c r="C69" s="53"/>
      <c r="D69" s="52">
        <v>4.33</v>
      </c>
      <c r="E69" s="61" t="s">
        <v>650</v>
      </c>
    </row>
    <row r="70" spans="1:6" x14ac:dyDescent="0.2">
      <c r="A70" s="248"/>
      <c r="B70" s="69" t="s">
        <v>649</v>
      </c>
      <c r="C70" s="53"/>
      <c r="D70" s="52">
        <f>D69/D73</f>
        <v>3.6083333333333334</v>
      </c>
      <c r="E70" s="61"/>
    </row>
    <row r="71" spans="1:6" x14ac:dyDescent="0.2">
      <c r="A71" s="248"/>
      <c r="B71" s="69" t="s">
        <v>336</v>
      </c>
      <c r="C71" s="53"/>
      <c r="D71" s="52">
        <f>D62+D70*D68</f>
        <v>7.0260480000000012</v>
      </c>
      <c r="E71" s="61" t="s">
        <v>242</v>
      </c>
    </row>
    <row r="72" spans="1:6" x14ac:dyDescent="0.2">
      <c r="A72" s="248"/>
      <c r="B72" s="69" t="s">
        <v>243</v>
      </c>
      <c r="C72" s="53"/>
      <c r="D72" s="52">
        <f>D71/D17</f>
        <v>0.37890567869276826</v>
      </c>
      <c r="E72" s="61" t="s">
        <v>244</v>
      </c>
    </row>
    <row r="73" spans="1:6" x14ac:dyDescent="0.2">
      <c r="A73" s="248"/>
      <c r="B73" s="69" t="s">
        <v>647</v>
      </c>
      <c r="C73" s="53"/>
      <c r="D73" s="52">
        <v>1.2</v>
      </c>
      <c r="E73" s="61" t="s">
        <v>245</v>
      </c>
    </row>
    <row r="74" spans="1:6" x14ac:dyDescent="0.2">
      <c r="A74" s="248"/>
      <c r="B74" s="69" t="s">
        <v>101</v>
      </c>
      <c r="C74" s="71" t="s">
        <v>102</v>
      </c>
      <c r="D74" s="52">
        <f>D73*D71</f>
        <v>8.4312576000000004</v>
      </c>
      <c r="E74" s="61" t="s">
        <v>342</v>
      </c>
      <c r="F74" s="103"/>
    </row>
    <row r="75" spans="1:6" x14ac:dyDescent="0.2">
      <c r="A75" s="248" t="s">
        <v>880</v>
      </c>
      <c r="B75" s="22" t="s">
        <v>371</v>
      </c>
      <c r="C75" s="53"/>
      <c r="D75" s="52">
        <f>D119*D91</f>
        <v>0.76513405649368016</v>
      </c>
      <c r="E75" s="61" t="s">
        <v>342</v>
      </c>
    </row>
    <row r="76" spans="1:6" x14ac:dyDescent="0.2">
      <c r="A76" s="248" t="s">
        <v>879</v>
      </c>
      <c r="B76" s="22" t="s">
        <v>373</v>
      </c>
      <c r="C76" s="53"/>
      <c r="D76" s="52">
        <f>D74-D75</f>
        <v>7.6661235435063197</v>
      </c>
      <c r="E76" s="61" t="s">
        <v>342</v>
      </c>
      <c r="F76" s="26"/>
    </row>
    <row r="77" spans="1:6" ht="15" x14ac:dyDescent="0.25">
      <c r="A77" s="248"/>
      <c r="B77" s="31" t="s">
        <v>731</v>
      </c>
      <c r="C77" s="18"/>
      <c r="D77" s="72">
        <f>D72*D75</f>
        <v>0.28991363896668876</v>
      </c>
      <c r="E77" s="62" t="s">
        <v>730</v>
      </c>
      <c r="F77" s="26"/>
    </row>
    <row r="78" spans="1:6" x14ac:dyDescent="0.2">
      <c r="A78" s="248"/>
      <c r="B78" s="15" t="s">
        <v>329</v>
      </c>
      <c r="C78" s="63"/>
    </row>
    <row r="79" spans="1:6" x14ac:dyDescent="0.2">
      <c r="A79" s="248"/>
      <c r="B79" s="69" t="s">
        <v>305</v>
      </c>
      <c r="C79" s="71"/>
      <c r="D79" s="73" t="e">
        <f>D3*#REF!</f>
        <v>#REF!</v>
      </c>
      <c r="E79" s="61" t="s">
        <v>84</v>
      </c>
    </row>
    <row r="80" spans="1:6" x14ac:dyDescent="0.2">
      <c r="A80" s="248"/>
      <c r="B80" s="69" t="s">
        <v>331</v>
      </c>
      <c r="C80" s="53"/>
      <c r="D80" s="53">
        <f>0.8*'[4]Datos costos Filtros'!$C$98</f>
        <v>0</v>
      </c>
      <c r="E80" s="61" t="s">
        <v>306</v>
      </c>
    </row>
    <row r="81" spans="1:17" x14ac:dyDescent="0.2">
      <c r="A81" s="248"/>
      <c r="B81" s="69" t="s">
        <v>307</v>
      </c>
      <c r="C81" s="53"/>
      <c r="D81" s="78" t="e">
        <f>D79/D80</f>
        <v>#REF!</v>
      </c>
      <c r="E81" s="129" t="s">
        <v>80</v>
      </c>
    </row>
    <row r="82" spans="1:17" x14ac:dyDescent="0.2">
      <c r="A82" s="248"/>
      <c r="B82" s="69" t="s">
        <v>330</v>
      </c>
      <c r="C82" s="53"/>
      <c r="D82" s="78">
        <v>0.3</v>
      </c>
      <c r="E82" s="129" t="s">
        <v>85</v>
      </c>
      <c r="F82" s="30" t="s">
        <v>251</v>
      </c>
    </row>
    <row r="83" spans="1:17" x14ac:dyDescent="0.2">
      <c r="A83" s="248"/>
      <c r="B83" s="69" t="s">
        <v>742</v>
      </c>
      <c r="C83" s="53"/>
      <c r="D83" s="78">
        <f>D82*D5*D14</f>
        <v>4.5</v>
      </c>
      <c r="E83" s="129" t="s">
        <v>80</v>
      </c>
      <c r="G83" s="63" t="s">
        <v>308</v>
      </c>
    </row>
    <row r="84" spans="1:17" ht="15" x14ac:dyDescent="0.25">
      <c r="A84" s="248"/>
      <c r="B84" s="69" t="s">
        <v>294</v>
      </c>
      <c r="C84" s="18"/>
      <c r="D84" s="55" t="e">
        <f>D83/D81</f>
        <v>#REF!</v>
      </c>
      <c r="E84" s="61"/>
      <c r="F84" s="33" t="s">
        <v>343</v>
      </c>
    </row>
    <row r="85" spans="1:17" x14ac:dyDescent="0.2">
      <c r="A85" s="248"/>
      <c r="B85" s="69" t="s">
        <v>335</v>
      </c>
      <c r="C85" s="53"/>
      <c r="D85" s="93">
        <f>600000</f>
        <v>600000</v>
      </c>
      <c r="E85" s="61" t="s">
        <v>334</v>
      </c>
    </row>
    <row r="86" spans="1:17" x14ac:dyDescent="0.2">
      <c r="A86" s="248"/>
      <c r="B86" s="69" t="s">
        <v>333</v>
      </c>
      <c r="C86" s="53"/>
      <c r="D86" s="93">
        <f>D85*D83</f>
        <v>2700000</v>
      </c>
      <c r="E86" s="61"/>
    </row>
    <row r="87" spans="1:17" x14ac:dyDescent="0.2">
      <c r="A87" s="248"/>
      <c r="B87" s="69" t="s">
        <v>309</v>
      </c>
      <c r="C87" s="53"/>
      <c r="D87" s="52">
        <f>D67</f>
        <v>0.41472000000000009</v>
      </c>
      <c r="E87" s="68" t="str">
        <f>E67</f>
        <v>Kg NH4/día</v>
      </c>
    </row>
    <row r="88" spans="1:17" x14ac:dyDescent="0.2">
      <c r="A88" s="248"/>
      <c r="B88" s="69" t="s">
        <v>310</v>
      </c>
      <c r="C88" s="53"/>
      <c r="D88" s="52">
        <f>D87/D83</f>
        <v>9.216000000000002E-2</v>
      </c>
      <c r="E88" s="68" t="s">
        <v>311</v>
      </c>
    </row>
    <row r="89" spans="1:17" x14ac:dyDescent="0.2">
      <c r="A89" s="248"/>
      <c r="B89" s="69" t="s">
        <v>312</v>
      </c>
      <c r="C89" s="53"/>
      <c r="D89" s="52">
        <f>D87/D47</f>
        <v>2.6687258687258693E-2</v>
      </c>
      <c r="E89" s="68" t="s">
        <v>311</v>
      </c>
      <c r="G89" s="63" t="s">
        <v>313</v>
      </c>
      <c r="I89" s="63" t="s">
        <v>247</v>
      </c>
    </row>
    <row r="90" spans="1:17" x14ac:dyDescent="0.2">
      <c r="A90" s="248"/>
      <c r="B90" s="34" t="s">
        <v>282</v>
      </c>
      <c r="C90" s="63"/>
      <c r="D90" s="84"/>
      <c r="E90" s="64"/>
      <c r="I90" s="63" t="s">
        <v>877</v>
      </c>
    </row>
    <row r="91" spans="1:17" x14ac:dyDescent="0.2">
      <c r="A91" s="248"/>
      <c r="B91" s="31" t="s">
        <v>369</v>
      </c>
      <c r="C91" s="53"/>
      <c r="D91" s="104">
        <v>6</v>
      </c>
      <c r="E91" s="62" t="s">
        <v>201</v>
      </c>
      <c r="F91" s="33" t="s">
        <v>251</v>
      </c>
      <c r="Q91" s="63" t="s">
        <v>878</v>
      </c>
    </row>
    <row r="92" spans="1:17" x14ac:dyDescent="0.2">
      <c r="A92" s="248"/>
      <c r="B92" s="69" t="s">
        <v>370</v>
      </c>
      <c r="C92" s="53" t="s">
        <v>264</v>
      </c>
      <c r="D92" s="52">
        <f>D39/D91</f>
        <v>1.5333333333333334</v>
      </c>
      <c r="E92" s="61" t="s">
        <v>64</v>
      </c>
    </row>
    <row r="93" spans="1:17" ht="15" x14ac:dyDescent="0.25">
      <c r="A93" s="248"/>
      <c r="B93" s="69" t="s">
        <v>733</v>
      </c>
      <c r="C93" s="18" t="s">
        <v>98</v>
      </c>
      <c r="D93" s="54">
        <f>25.4*D94</f>
        <v>12.7</v>
      </c>
      <c r="E93" s="61" t="s">
        <v>253</v>
      </c>
    </row>
    <row r="94" spans="1:17" ht="15" x14ac:dyDescent="0.25">
      <c r="A94" s="248"/>
      <c r="B94" s="69"/>
      <c r="C94" s="18"/>
      <c r="D94" s="56">
        <v>0.5</v>
      </c>
      <c r="E94" s="61" t="s">
        <v>129</v>
      </c>
    </row>
    <row r="95" spans="1:17" x14ac:dyDescent="0.2">
      <c r="A95" s="248"/>
      <c r="B95" s="69" t="s">
        <v>254</v>
      </c>
      <c r="C95" s="53"/>
      <c r="D95" s="52">
        <f>0.25*3.14*D93^2</f>
        <v>126.61265</v>
      </c>
      <c r="E95" s="61" t="s">
        <v>255</v>
      </c>
    </row>
    <row r="96" spans="1:17" x14ac:dyDescent="0.2">
      <c r="A96" s="248"/>
      <c r="B96" s="31" t="s">
        <v>265</v>
      </c>
      <c r="C96" s="53" t="s">
        <v>266</v>
      </c>
      <c r="D96" s="76">
        <f>0.001*D92/(D95/1000000)</f>
        <v>12.110427617882838</v>
      </c>
      <c r="E96" s="67" t="s">
        <v>131</v>
      </c>
      <c r="F96" s="63" t="s">
        <v>652</v>
      </c>
      <c r="G96" s="89">
        <f>D28</f>
        <v>0.1</v>
      </c>
      <c r="H96" s="63" t="s">
        <v>67</v>
      </c>
    </row>
    <row r="97" spans="1:9" x14ac:dyDescent="0.2">
      <c r="A97" s="248"/>
      <c r="B97" s="69" t="s">
        <v>94</v>
      </c>
      <c r="C97" s="53"/>
      <c r="D97" s="52">
        <v>2</v>
      </c>
      <c r="E97" s="61" t="s">
        <v>129</v>
      </c>
    </row>
    <row r="98" spans="1:9" x14ac:dyDescent="0.2">
      <c r="A98" s="248"/>
      <c r="B98" s="69" t="s">
        <v>257</v>
      </c>
      <c r="C98" s="53"/>
      <c r="D98" s="52">
        <f>0.001*D92/(0.25*3.14*(D97*0.0254)^2)</f>
        <v>0.75690172611767736</v>
      </c>
      <c r="E98" s="61" t="s">
        <v>131</v>
      </c>
    </row>
    <row r="99" spans="1:9" x14ac:dyDescent="0.2">
      <c r="A99" s="248"/>
      <c r="B99" s="31" t="s">
        <v>96</v>
      </c>
      <c r="C99" s="53" t="s">
        <v>258</v>
      </c>
      <c r="D99" s="85">
        <v>25</v>
      </c>
      <c r="E99" s="62" t="s">
        <v>138</v>
      </c>
    </row>
    <row r="100" spans="1:9" x14ac:dyDescent="0.2">
      <c r="A100" s="248"/>
      <c r="B100" s="31" t="s">
        <v>259</v>
      </c>
      <c r="C100" s="35" t="s">
        <v>260</v>
      </c>
      <c r="D100" s="85">
        <v>10.7</v>
      </c>
      <c r="E100" s="62" t="s">
        <v>95</v>
      </c>
      <c r="G100" s="64" t="s">
        <v>261</v>
      </c>
      <c r="H100" s="64"/>
    </row>
    <row r="101" spans="1:9" x14ac:dyDescent="0.2">
      <c r="A101" s="248"/>
      <c r="B101" s="31" t="s">
        <v>262</v>
      </c>
      <c r="C101" s="35"/>
      <c r="D101" s="85">
        <v>0.7</v>
      </c>
      <c r="E101" s="62" t="s">
        <v>85</v>
      </c>
      <c r="F101" s="33" t="s">
        <v>251</v>
      </c>
      <c r="G101" s="64"/>
      <c r="H101" s="64"/>
    </row>
    <row r="102" spans="1:9" x14ac:dyDescent="0.2">
      <c r="A102" s="248"/>
      <c r="B102" s="31" t="s">
        <v>263</v>
      </c>
      <c r="C102" s="53" t="s">
        <v>79</v>
      </c>
      <c r="D102" s="85">
        <f>D101*D37/D91</f>
        <v>1.75</v>
      </c>
      <c r="E102" s="62" t="s">
        <v>80</v>
      </c>
      <c r="F102" s="86"/>
    </row>
    <row r="103" spans="1:9" x14ac:dyDescent="0.2">
      <c r="A103" s="248"/>
      <c r="B103" s="31" t="s">
        <v>267</v>
      </c>
      <c r="C103" s="53" t="s">
        <v>149</v>
      </c>
      <c r="D103" s="87">
        <f>D92*(D96^2/19.6)/102</f>
        <v>0.11248621158541837</v>
      </c>
      <c r="E103" s="62" t="s">
        <v>180</v>
      </c>
      <c r="G103" s="63" t="s">
        <v>268</v>
      </c>
      <c r="H103" s="63" t="s">
        <v>269</v>
      </c>
    </row>
    <row r="104" spans="1:9" x14ac:dyDescent="0.2">
      <c r="A104" s="248"/>
      <c r="B104" s="31" t="s">
        <v>270</v>
      </c>
      <c r="C104" s="53" t="s">
        <v>149</v>
      </c>
      <c r="D104" s="87">
        <f>D103*D91</f>
        <v>0.67491726951251019</v>
      </c>
      <c r="E104" s="62" t="s">
        <v>180</v>
      </c>
    </row>
    <row r="105" spans="1:9" x14ac:dyDescent="0.2">
      <c r="A105" s="248"/>
      <c r="B105" s="31" t="s">
        <v>283</v>
      </c>
      <c r="C105" s="53" t="s">
        <v>99</v>
      </c>
      <c r="D105" s="88">
        <f>D93/10</f>
        <v>1.27</v>
      </c>
      <c r="E105" s="62" t="s">
        <v>271</v>
      </c>
    </row>
    <row r="106" spans="1:9" x14ac:dyDescent="0.2">
      <c r="A106" s="248"/>
      <c r="B106" s="31" t="s">
        <v>272</v>
      </c>
      <c r="C106" s="35" t="s">
        <v>273</v>
      </c>
      <c r="D106" s="88">
        <f>D103/D102</f>
        <v>6.4277835191667645E-2</v>
      </c>
      <c r="E106" s="62" t="s">
        <v>274</v>
      </c>
    </row>
    <row r="107" spans="1:9" x14ac:dyDescent="0.2">
      <c r="A107" s="248"/>
      <c r="B107" s="31" t="s">
        <v>284</v>
      </c>
      <c r="C107" s="53"/>
      <c r="D107" s="105">
        <f>0.00031+0.0485*D96^3*(0.01*D105)^2</f>
        <v>1.4204010265956777E-2</v>
      </c>
      <c r="E107" s="62" t="s">
        <v>207</v>
      </c>
      <c r="F107" s="63" t="s">
        <v>268</v>
      </c>
      <c r="G107" s="63" t="s">
        <v>352</v>
      </c>
    </row>
    <row r="108" spans="1:9" x14ac:dyDescent="0.2">
      <c r="A108" s="248"/>
      <c r="B108" s="31"/>
      <c r="C108" s="35" t="s">
        <v>275</v>
      </c>
      <c r="D108" s="106">
        <f>D107/D102</f>
        <v>8.1165772948324447E-3</v>
      </c>
      <c r="E108" s="62" t="s">
        <v>277</v>
      </c>
      <c r="F108" s="63" t="s">
        <v>285</v>
      </c>
      <c r="H108" s="63">
        <f>D108/3600</f>
        <v>2.2546048041201237E-6</v>
      </c>
      <c r="I108" s="63" t="s">
        <v>188</v>
      </c>
    </row>
    <row r="109" spans="1:9" x14ac:dyDescent="0.2">
      <c r="A109" s="248"/>
      <c r="B109" s="31" t="s">
        <v>286</v>
      </c>
      <c r="C109" s="53"/>
      <c r="D109" s="107">
        <f>0.00009*1000*D103</f>
        <v>1.0123759042687655E-2</v>
      </c>
      <c r="E109" s="62" t="s">
        <v>207</v>
      </c>
    </row>
    <row r="110" spans="1:9" x14ac:dyDescent="0.2">
      <c r="A110" s="248"/>
      <c r="B110" s="31"/>
      <c r="C110" s="35"/>
      <c r="D110" s="106">
        <f>D109/D102</f>
        <v>5.785005167250089E-3</v>
      </c>
      <c r="E110" s="62" t="s">
        <v>277</v>
      </c>
      <c r="F110" s="63" t="s">
        <v>285</v>
      </c>
    </row>
    <row r="111" spans="1:9" x14ac:dyDescent="0.2">
      <c r="A111" s="248"/>
      <c r="B111" s="31" t="s">
        <v>287</v>
      </c>
      <c r="C111" s="35" t="s">
        <v>275</v>
      </c>
      <c r="D111" s="52">
        <f>0.029*D106^0.65*3600</f>
        <v>17.53639445882704</v>
      </c>
      <c r="E111" s="62" t="s">
        <v>277</v>
      </c>
    </row>
    <row r="112" spans="1:9" x14ac:dyDescent="0.2">
      <c r="A112" s="248"/>
      <c r="B112" s="31"/>
      <c r="C112" s="35"/>
      <c r="D112" s="108">
        <f>D111/3600</f>
        <v>4.8712206830075107E-3</v>
      </c>
      <c r="E112" s="62" t="s">
        <v>188</v>
      </c>
      <c r="F112" s="63" t="s">
        <v>288</v>
      </c>
      <c r="G112" s="64"/>
    </row>
    <row r="113" spans="1:9" x14ac:dyDescent="0.2">
      <c r="A113" s="248"/>
      <c r="B113" s="31" t="s">
        <v>289</v>
      </c>
      <c r="C113" s="35" t="s">
        <v>275</v>
      </c>
      <c r="D113" s="108">
        <f>(0.136*(D106)^0.68)/4</f>
        <v>5.2596950059915189E-3</v>
      </c>
      <c r="E113" s="62" t="s">
        <v>188</v>
      </c>
      <c r="F113" s="64" t="s">
        <v>290</v>
      </c>
      <c r="G113" s="64" t="s">
        <v>291</v>
      </c>
    </row>
    <row r="114" spans="1:9" x14ac:dyDescent="0.2">
      <c r="A114" s="248"/>
      <c r="B114" s="32" t="s">
        <v>276</v>
      </c>
      <c r="C114" s="53"/>
      <c r="D114" s="36">
        <f>D113</f>
        <v>5.2596950059915189E-3</v>
      </c>
      <c r="E114" s="37" t="s">
        <v>188</v>
      </c>
      <c r="G114" s="64"/>
    </row>
    <row r="115" spans="1:9" x14ac:dyDescent="0.2">
      <c r="A115" s="248"/>
      <c r="B115" s="31"/>
      <c r="C115" s="53"/>
      <c r="D115" s="38">
        <f>D114*3600</f>
        <v>18.934902021569467</v>
      </c>
      <c r="E115" s="37" t="s">
        <v>277</v>
      </c>
    </row>
    <row r="116" spans="1:9" x14ac:dyDescent="0.2">
      <c r="A116" s="248"/>
      <c r="B116" s="31" t="s">
        <v>734</v>
      </c>
      <c r="C116" s="35" t="s">
        <v>278</v>
      </c>
      <c r="D116" s="87">
        <f>D115*D100*D102/1000</f>
        <v>0.35455604035388827</v>
      </c>
      <c r="E116" s="62" t="s">
        <v>279</v>
      </c>
      <c r="G116" s="64" t="s">
        <v>280</v>
      </c>
      <c r="H116" s="63">
        <v>1.4999999999999999E-2</v>
      </c>
      <c r="I116" s="63" t="s">
        <v>281</v>
      </c>
    </row>
    <row r="117" spans="1:9" x14ac:dyDescent="0.2">
      <c r="A117" s="248"/>
      <c r="B117" s="31" t="s">
        <v>249</v>
      </c>
      <c r="C117" s="53"/>
      <c r="D117" s="109">
        <f>D28/D32</f>
        <v>8.6956521739130432E-2</v>
      </c>
      <c r="E117" s="62"/>
    </row>
    <row r="118" spans="1:9" x14ac:dyDescent="0.2">
      <c r="A118" s="248"/>
      <c r="B118" s="31" t="s">
        <v>735</v>
      </c>
      <c r="C118" s="53"/>
      <c r="D118" s="87">
        <f>D116*D117*D91</f>
        <v>0.18498576018463736</v>
      </c>
      <c r="E118" s="62" t="s">
        <v>279</v>
      </c>
    </row>
    <row r="119" spans="1:9" x14ac:dyDescent="0.2">
      <c r="A119" s="248" t="s">
        <v>847</v>
      </c>
      <c r="B119" s="31" t="s">
        <v>736</v>
      </c>
      <c r="C119" s="53"/>
      <c r="D119" s="87">
        <f>D118*D313</f>
        <v>0.12752234274894669</v>
      </c>
      <c r="E119" s="62" t="s">
        <v>279</v>
      </c>
    </row>
    <row r="120" spans="1:9" ht="15" x14ac:dyDescent="0.25">
      <c r="A120" s="248"/>
      <c r="B120" s="34" t="s">
        <v>750</v>
      </c>
      <c r="C120" s="13"/>
      <c r="D120" s="149"/>
      <c r="E120" s="64"/>
    </row>
    <row r="121" spans="1:9" x14ac:dyDescent="0.2">
      <c r="A121" s="248"/>
      <c r="B121" s="31" t="s">
        <v>751</v>
      </c>
      <c r="C121" s="35" t="s">
        <v>752</v>
      </c>
      <c r="D121" s="150">
        <f>D105</f>
        <v>1.27</v>
      </c>
      <c r="E121" s="62" t="s">
        <v>271</v>
      </c>
    </row>
    <row r="122" spans="1:9" x14ac:dyDescent="0.2">
      <c r="A122" s="248"/>
      <c r="B122" s="31" t="s">
        <v>753</v>
      </c>
      <c r="C122" s="35" t="s">
        <v>754</v>
      </c>
      <c r="D122" s="150">
        <v>3</v>
      </c>
      <c r="E122" s="62" t="s">
        <v>271</v>
      </c>
    </row>
    <row r="123" spans="1:9" x14ac:dyDescent="0.2">
      <c r="A123" s="248"/>
      <c r="B123" s="151" t="s">
        <v>755</v>
      </c>
      <c r="C123" s="151"/>
      <c r="D123" s="150">
        <f>D122/D121</f>
        <v>2.3622047244094486</v>
      </c>
      <c r="E123" s="62"/>
    </row>
    <row r="124" spans="1:9" x14ac:dyDescent="0.2">
      <c r="A124" s="248"/>
      <c r="B124" s="151" t="s">
        <v>756</v>
      </c>
      <c r="C124" s="151"/>
      <c r="D124" s="150">
        <f>D123^2-1</f>
        <v>4.5800111600223188</v>
      </c>
      <c r="E124" s="62"/>
      <c r="F124" s="63" t="s">
        <v>757</v>
      </c>
    </row>
    <row r="125" spans="1:9" x14ac:dyDescent="0.2">
      <c r="A125" s="248"/>
      <c r="B125" s="65" t="s">
        <v>758</v>
      </c>
      <c r="C125" s="90"/>
      <c r="D125" s="150">
        <f>D124*D92</f>
        <v>7.0226837787008893</v>
      </c>
      <c r="E125" s="61" t="s">
        <v>64</v>
      </c>
    </row>
    <row r="126" spans="1:9" x14ac:dyDescent="0.2">
      <c r="A126" s="248"/>
      <c r="B126" s="65" t="s">
        <v>759</v>
      </c>
      <c r="C126" s="90"/>
      <c r="D126" s="148">
        <v>1.5</v>
      </c>
      <c r="E126" s="61" t="s">
        <v>129</v>
      </c>
    </row>
    <row r="127" spans="1:9" x14ac:dyDescent="0.2">
      <c r="A127" s="248"/>
      <c r="B127" s="65" t="s">
        <v>760</v>
      </c>
      <c r="C127" s="90"/>
      <c r="D127" s="150">
        <f>0.001*D125/(0.25*3.14*(D126*0.0254)^2)</f>
        <v>6.1628770713939902</v>
      </c>
      <c r="E127" s="61" t="s">
        <v>131</v>
      </c>
    </row>
    <row r="128" spans="1:9" x14ac:dyDescent="0.2">
      <c r="A128" s="248"/>
      <c r="B128" s="15" t="s">
        <v>295</v>
      </c>
      <c r="C128" s="63"/>
      <c r="E128" s="64"/>
    </row>
    <row r="129" spans="1:6" x14ac:dyDescent="0.2">
      <c r="A129" s="248"/>
      <c r="B129" s="22" t="s">
        <v>256</v>
      </c>
      <c r="C129" s="53"/>
      <c r="D129" s="76">
        <f>D39</f>
        <v>9.2000000000000011</v>
      </c>
      <c r="E129" s="62" t="s">
        <v>64</v>
      </c>
    </row>
    <row r="130" spans="1:6" x14ac:dyDescent="0.2">
      <c r="A130" s="248"/>
      <c r="B130" s="31" t="s">
        <v>296</v>
      </c>
      <c r="C130" s="71"/>
      <c r="D130" s="88">
        <v>4</v>
      </c>
      <c r="E130" s="62" t="s">
        <v>129</v>
      </c>
    </row>
    <row r="131" spans="1:6" x14ac:dyDescent="0.2">
      <c r="A131" s="248"/>
      <c r="B131" s="31" t="s">
        <v>297</v>
      </c>
      <c r="C131" s="71"/>
      <c r="D131" s="88">
        <f>0.001*D129/(0.25*3.14*(0.0254*D130)^2)</f>
        <v>1.1353525891765162</v>
      </c>
      <c r="E131" s="62" t="s">
        <v>131</v>
      </c>
    </row>
    <row r="132" spans="1:6" x14ac:dyDescent="0.2">
      <c r="A132" s="248"/>
      <c r="B132" s="31" t="s">
        <v>725</v>
      </c>
      <c r="C132" s="53"/>
      <c r="D132" s="88">
        <f>D131^2/19.6</f>
        <v>6.5766607232133623E-2</v>
      </c>
      <c r="E132" s="62" t="s">
        <v>85</v>
      </c>
    </row>
    <row r="133" spans="1:6" x14ac:dyDescent="0.2">
      <c r="A133" s="248"/>
      <c r="B133" s="31" t="s">
        <v>353</v>
      </c>
      <c r="C133" s="53"/>
      <c r="D133" s="88">
        <f>D96^2/19.6</f>
        <v>7.4827784228560912</v>
      </c>
      <c r="E133" s="62" t="s">
        <v>85</v>
      </c>
    </row>
    <row r="134" spans="1:6" x14ac:dyDescent="0.2">
      <c r="A134" s="248"/>
      <c r="B134" s="31" t="s">
        <v>298</v>
      </c>
      <c r="C134" s="53"/>
      <c r="D134" s="88">
        <v>3.3</v>
      </c>
      <c r="E134" s="62" t="s">
        <v>85</v>
      </c>
    </row>
    <row r="135" spans="1:6" x14ac:dyDescent="0.2">
      <c r="A135" s="248"/>
      <c r="B135" s="69" t="s">
        <v>712</v>
      </c>
      <c r="C135" s="71"/>
      <c r="D135" s="52">
        <f>7+2</f>
        <v>9</v>
      </c>
      <c r="E135" s="61" t="s">
        <v>252</v>
      </c>
    </row>
    <row r="136" spans="1:6" x14ac:dyDescent="0.2">
      <c r="A136" s="248"/>
      <c r="B136" s="69" t="s">
        <v>713</v>
      </c>
      <c r="C136" s="71"/>
      <c r="D136" s="110">
        <v>9.9999999999999995E-7</v>
      </c>
      <c r="E136" s="23" t="s">
        <v>714</v>
      </c>
      <c r="F136" s="28" t="s">
        <v>715</v>
      </c>
    </row>
    <row r="137" spans="1:6" x14ac:dyDescent="0.2">
      <c r="A137" s="248"/>
      <c r="B137" s="22" t="s">
        <v>716</v>
      </c>
      <c r="C137" s="71"/>
      <c r="D137" s="110">
        <f>D131*D130*0.0254/D136</f>
        <v>115351.82306033403</v>
      </c>
      <c r="E137" s="61"/>
    </row>
    <row r="138" spans="1:6" x14ac:dyDescent="0.2">
      <c r="A138" s="248"/>
      <c r="B138" s="22" t="s">
        <v>717</v>
      </c>
      <c r="C138" s="71"/>
      <c r="D138" s="108">
        <v>1.7999999999999999E-2</v>
      </c>
      <c r="E138" s="61"/>
      <c r="F138" s="63" t="s">
        <v>724</v>
      </c>
    </row>
    <row r="139" spans="1:6" x14ac:dyDescent="0.2">
      <c r="A139" s="248"/>
      <c r="B139" s="69" t="s">
        <v>718</v>
      </c>
      <c r="C139" s="71"/>
      <c r="D139" s="82">
        <f>D140/D135</f>
        <v>1.1837989301784051E-2</v>
      </c>
      <c r="E139" s="61"/>
    </row>
    <row r="140" spans="1:6" x14ac:dyDescent="0.2">
      <c r="A140" s="248"/>
      <c r="B140" s="69" t="s">
        <v>726</v>
      </c>
      <c r="C140" s="71"/>
      <c r="D140" s="52">
        <f>D138*(D135/(0.025*D130))*D132</f>
        <v>0.10654190371605646</v>
      </c>
      <c r="E140" s="61" t="s">
        <v>85</v>
      </c>
    </row>
    <row r="141" spans="1:6" x14ac:dyDescent="0.2">
      <c r="A141" s="248"/>
      <c r="B141" s="69" t="s">
        <v>719</v>
      </c>
      <c r="C141" s="71"/>
      <c r="D141" s="52">
        <v>0.6</v>
      </c>
      <c r="E141" s="61"/>
      <c r="F141" s="63" t="s">
        <v>720</v>
      </c>
    </row>
    <row r="142" spans="1:6" x14ac:dyDescent="0.2">
      <c r="A142" s="248"/>
      <c r="B142" s="22" t="s">
        <v>721</v>
      </c>
      <c r="C142" s="71"/>
      <c r="D142" s="73">
        <v>4</v>
      </c>
      <c r="E142" s="61"/>
    </row>
    <row r="143" spans="1:6" x14ac:dyDescent="0.2">
      <c r="A143" s="248"/>
      <c r="B143" s="69" t="s">
        <v>722</v>
      </c>
      <c r="C143" s="71"/>
      <c r="D143" s="52">
        <f>D142*D141*D132</f>
        <v>0.15783985735712069</v>
      </c>
      <c r="E143" s="61" t="s">
        <v>85</v>
      </c>
    </row>
    <row r="144" spans="1:6" x14ac:dyDescent="0.2">
      <c r="A144" s="248"/>
      <c r="B144" s="31" t="s">
        <v>723</v>
      </c>
      <c r="C144" s="71"/>
      <c r="D144" s="88">
        <f>D143+D140</f>
        <v>0.26438176107317712</v>
      </c>
      <c r="E144" s="51" t="s">
        <v>85</v>
      </c>
    </row>
    <row r="145" spans="1:8" x14ac:dyDescent="0.2">
      <c r="A145" s="248"/>
      <c r="B145" s="31" t="s">
        <v>299</v>
      </c>
      <c r="C145" s="53"/>
      <c r="D145" s="111">
        <f>D133+D134+D144</f>
        <v>11.047160183929268</v>
      </c>
      <c r="E145" s="60" t="s">
        <v>85</v>
      </c>
    </row>
    <row r="146" spans="1:8" x14ac:dyDescent="0.2">
      <c r="A146" s="248"/>
      <c r="B146" s="31" t="s">
        <v>300</v>
      </c>
      <c r="C146" s="53"/>
      <c r="D146" s="112">
        <v>0.69</v>
      </c>
      <c r="E146" s="61"/>
    </row>
    <row r="147" spans="1:8" x14ac:dyDescent="0.2">
      <c r="A147" s="248"/>
      <c r="B147" s="31" t="s">
        <v>301</v>
      </c>
      <c r="C147" s="53"/>
      <c r="D147" s="58">
        <f>D129*D145/(76*D146)</f>
        <v>1.9380982778823281</v>
      </c>
      <c r="E147" s="67" t="s">
        <v>184</v>
      </c>
    </row>
    <row r="148" spans="1:8" x14ac:dyDescent="0.2">
      <c r="A148" s="248"/>
      <c r="B148" s="31"/>
      <c r="C148" s="53"/>
      <c r="D148" s="57">
        <f>D147*0.67</f>
        <v>1.29852584618116</v>
      </c>
      <c r="E148" s="62" t="s">
        <v>180</v>
      </c>
    </row>
    <row r="149" spans="1:8" x14ac:dyDescent="0.2">
      <c r="A149" s="248"/>
      <c r="B149" s="31" t="s">
        <v>327</v>
      </c>
      <c r="C149" s="53"/>
      <c r="D149" s="88">
        <f>D192</f>
        <v>0.52338448363745693</v>
      </c>
      <c r="E149" s="62" t="s">
        <v>184</v>
      </c>
    </row>
    <row r="150" spans="1:8" x14ac:dyDescent="0.2">
      <c r="A150" s="248"/>
      <c r="B150" s="31" t="s">
        <v>328</v>
      </c>
      <c r="C150" s="53"/>
      <c r="D150" s="88">
        <f>(D147+D149)*0.76</f>
        <v>1.8707268987550367</v>
      </c>
      <c r="E150" s="62" t="s">
        <v>180</v>
      </c>
    </row>
    <row r="151" spans="1:8" x14ac:dyDescent="0.2">
      <c r="A151" s="248"/>
      <c r="B151" s="70" t="s">
        <v>302</v>
      </c>
      <c r="C151" s="53"/>
      <c r="D151" s="88">
        <f>D150*24</f>
        <v>44.89744557012088</v>
      </c>
      <c r="E151" s="62" t="s">
        <v>303</v>
      </c>
    </row>
    <row r="152" spans="1:8" x14ac:dyDescent="0.2">
      <c r="A152" s="248"/>
      <c r="B152" s="31" t="s">
        <v>304</v>
      </c>
      <c r="C152" s="99" t="s">
        <v>727</v>
      </c>
      <c r="D152" s="61" t="s">
        <v>737</v>
      </c>
      <c r="F152" s="94"/>
    </row>
    <row r="153" spans="1:8" x14ac:dyDescent="0.2">
      <c r="A153" s="248"/>
      <c r="B153" s="31"/>
      <c r="C153" s="99" t="s">
        <v>729</v>
      </c>
      <c r="D153" s="61" t="s">
        <v>728</v>
      </c>
      <c r="F153" s="64"/>
    </row>
    <row r="154" spans="1:8" x14ac:dyDescent="0.2">
      <c r="A154" s="248"/>
      <c r="B154" s="25" t="s">
        <v>372</v>
      </c>
      <c r="C154" s="71"/>
      <c r="D154" s="53"/>
      <c r="E154" s="61"/>
    </row>
    <row r="155" spans="1:8" x14ac:dyDescent="0.2">
      <c r="A155" s="248"/>
      <c r="B155" s="69" t="s">
        <v>104</v>
      </c>
      <c r="C155" s="71"/>
      <c r="D155" s="52">
        <f>D76</f>
        <v>7.6661235435063197</v>
      </c>
      <c r="E155" s="61" t="s">
        <v>342</v>
      </c>
      <c r="F155" s="89" t="s">
        <v>672</v>
      </c>
      <c r="G155" s="77">
        <f>D194</f>
        <v>109.77848107907742</v>
      </c>
      <c r="H155" s="63" t="s">
        <v>188</v>
      </c>
    </row>
    <row r="156" spans="1:8" ht="15" customHeight="1" x14ac:dyDescent="0.2">
      <c r="A156" s="248"/>
      <c r="B156" s="27" t="s">
        <v>107</v>
      </c>
      <c r="C156" s="71"/>
      <c r="D156" s="113">
        <v>2.1999999999999999E-2</v>
      </c>
      <c r="E156" s="114"/>
      <c r="G156" s="63" t="s">
        <v>108</v>
      </c>
    </row>
    <row r="157" spans="1:8" x14ac:dyDescent="0.2">
      <c r="A157" s="248"/>
      <c r="B157" s="27" t="s">
        <v>109</v>
      </c>
      <c r="C157" s="71"/>
      <c r="D157" s="39">
        <f>D156*(D45/0.305)</f>
        <v>0.10098360655737704</v>
      </c>
      <c r="E157" s="114"/>
    </row>
    <row r="158" spans="1:8" x14ac:dyDescent="0.2">
      <c r="A158" s="248"/>
      <c r="B158" s="70" t="s">
        <v>110</v>
      </c>
      <c r="C158" s="71"/>
      <c r="D158" s="95">
        <f>D313</f>
        <v>0.68936302243840031</v>
      </c>
      <c r="E158" s="66"/>
      <c r="G158" s="63" t="s">
        <v>111</v>
      </c>
    </row>
    <row r="159" spans="1:8" x14ac:dyDescent="0.2">
      <c r="A159" s="248"/>
      <c r="B159" s="69" t="s">
        <v>112</v>
      </c>
      <c r="C159" s="71"/>
      <c r="D159" s="115">
        <f>D155/(D157*D158)</f>
        <v>110.12272579024211</v>
      </c>
      <c r="E159" s="62" t="s">
        <v>113</v>
      </c>
      <c r="G159" s="116" t="s">
        <v>114</v>
      </c>
    </row>
    <row r="160" spans="1:8" x14ac:dyDescent="0.2">
      <c r="A160" s="248"/>
      <c r="B160" s="70" t="s">
        <v>115</v>
      </c>
      <c r="C160" s="71"/>
      <c r="D160" s="95">
        <v>1.165</v>
      </c>
      <c r="E160" s="62" t="s">
        <v>116</v>
      </c>
      <c r="G160" s="63" t="s">
        <v>117</v>
      </c>
    </row>
    <row r="161" spans="1:9" x14ac:dyDescent="0.2">
      <c r="A161" s="248"/>
      <c r="B161" s="69" t="s">
        <v>118</v>
      </c>
      <c r="C161" s="71"/>
      <c r="D161" s="82">
        <v>0.23</v>
      </c>
      <c r="E161" s="62"/>
      <c r="G161" s="28"/>
    </row>
    <row r="162" spans="1:9" x14ac:dyDescent="0.2">
      <c r="A162" s="248"/>
      <c r="B162" s="69" t="s">
        <v>119</v>
      </c>
      <c r="C162" s="71"/>
      <c r="D162" s="52">
        <f>D161*D160</f>
        <v>0.26795000000000002</v>
      </c>
      <c r="E162" s="62" t="s">
        <v>116</v>
      </c>
      <c r="G162" s="28"/>
    </row>
    <row r="163" spans="1:9" x14ac:dyDescent="0.2">
      <c r="A163" s="248"/>
      <c r="B163" s="27" t="s">
        <v>120</v>
      </c>
      <c r="C163" s="71"/>
      <c r="D163" s="117">
        <f>(D159/24)/(D162)</f>
        <v>17.124265377595648</v>
      </c>
      <c r="E163" s="51" t="s">
        <v>121</v>
      </c>
      <c r="G163" s="116" t="s">
        <v>122</v>
      </c>
    </row>
    <row r="164" spans="1:9" x14ac:dyDescent="0.2">
      <c r="A164" s="248"/>
      <c r="B164" s="27"/>
      <c r="C164" s="71"/>
      <c r="D164" s="117">
        <f>D163/(0.028*60)</f>
        <v>10.193015105711696</v>
      </c>
      <c r="E164" s="51" t="s">
        <v>123</v>
      </c>
    </row>
    <row r="165" spans="1:9" x14ac:dyDescent="0.2">
      <c r="A165" s="248"/>
      <c r="B165" s="69" t="s">
        <v>124</v>
      </c>
      <c r="C165" s="71"/>
      <c r="D165" s="118">
        <f>D304/D306</f>
        <v>1.3532411262034632</v>
      </c>
      <c r="E165" s="51"/>
      <c r="G165" s="119"/>
      <c r="H165" s="120"/>
    </row>
    <row r="166" spans="1:9" x14ac:dyDescent="0.2">
      <c r="A166" s="248"/>
      <c r="B166" s="27" t="s">
        <v>743</v>
      </c>
      <c r="C166" s="71"/>
      <c r="D166" s="117">
        <f>D165*D164</f>
        <v>13.793607241062208</v>
      </c>
      <c r="E166" s="51" t="s">
        <v>125</v>
      </c>
    </row>
    <row r="167" spans="1:9" x14ac:dyDescent="0.2">
      <c r="A167" s="248"/>
      <c r="B167" s="27"/>
      <c r="C167" s="71"/>
      <c r="D167" s="88">
        <f>D166*28/60</f>
        <v>6.437016712495697</v>
      </c>
      <c r="E167" s="62" t="s">
        <v>64</v>
      </c>
      <c r="F167" s="119"/>
    </row>
    <row r="168" spans="1:9" x14ac:dyDescent="0.2">
      <c r="A168" s="248"/>
      <c r="B168" s="27" t="s">
        <v>186</v>
      </c>
      <c r="C168" s="71"/>
      <c r="D168" s="121">
        <f>(D29+D28)/D32</f>
        <v>0.52173913043478248</v>
      </c>
      <c r="E168" s="62"/>
      <c r="F168" s="119" t="s">
        <v>738</v>
      </c>
    </row>
    <row r="169" spans="1:9" x14ac:dyDescent="0.2">
      <c r="A169" s="248"/>
      <c r="B169" s="27" t="s">
        <v>744</v>
      </c>
      <c r="C169" s="71"/>
      <c r="D169" s="88">
        <f>D167/D168</f>
        <v>12.337615365616756</v>
      </c>
      <c r="E169" s="62" t="s">
        <v>64</v>
      </c>
      <c r="F169" s="119"/>
    </row>
    <row r="170" spans="1:9" x14ac:dyDescent="0.2">
      <c r="A170" s="248"/>
      <c r="B170" s="27" t="s">
        <v>213</v>
      </c>
      <c r="C170" s="71"/>
      <c r="D170" s="122" t="s">
        <v>214</v>
      </c>
      <c r="E170" s="62"/>
      <c r="F170" s="119"/>
    </row>
    <row r="171" spans="1:9" x14ac:dyDescent="0.2">
      <c r="A171" s="248"/>
      <c r="B171" s="27" t="s">
        <v>215</v>
      </c>
      <c r="C171" s="71"/>
      <c r="D171" s="123">
        <v>2</v>
      </c>
      <c r="E171" s="62" t="s">
        <v>126</v>
      </c>
      <c r="F171" s="119"/>
    </row>
    <row r="172" spans="1:9" x14ac:dyDescent="0.2">
      <c r="A172" s="248"/>
      <c r="B172" s="27" t="s">
        <v>208</v>
      </c>
      <c r="C172" s="71"/>
      <c r="D172" s="124">
        <v>4</v>
      </c>
      <c r="E172" s="51" t="s">
        <v>126</v>
      </c>
    </row>
    <row r="173" spans="1:9" x14ac:dyDescent="0.2">
      <c r="A173" s="248"/>
      <c r="B173" s="46" t="s">
        <v>209</v>
      </c>
      <c r="C173" s="125"/>
      <c r="D173" s="126">
        <f>D166/D172</f>
        <v>3.448401810265552</v>
      </c>
      <c r="E173" s="127" t="s">
        <v>127</v>
      </c>
    </row>
    <row r="174" spans="1:9" x14ac:dyDescent="0.2">
      <c r="A174" s="248"/>
      <c r="B174" s="46" t="s">
        <v>655</v>
      </c>
      <c r="C174" s="125"/>
      <c r="D174" s="126">
        <v>1</v>
      </c>
      <c r="E174" s="127" t="s">
        <v>252</v>
      </c>
      <c r="F174" s="119"/>
      <c r="H174" s="45"/>
      <c r="I174" s="28"/>
    </row>
    <row r="175" spans="1:9" x14ac:dyDescent="0.2">
      <c r="A175" s="248"/>
      <c r="B175" s="46" t="s">
        <v>658</v>
      </c>
      <c r="C175" s="125"/>
      <c r="D175" s="126">
        <f>D173/D174</f>
        <v>3.448401810265552</v>
      </c>
      <c r="E175" s="127" t="s">
        <v>127</v>
      </c>
      <c r="F175" s="119">
        <f>D175*28/60</f>
        <v>1.6092541781239242</v>
      </c>
      <c r="G175" s="63" t="s">
        <v>64</v>
      </c>
      <c r="H175" s="45">
        <f>F175*3.6</f>
        <v>5.7933150412461272</v>
      </c>
      <c r="I175" s="28" t="s">
        <v>207</v>
      </c>
    </row>
    <row r="176" spans="1:9" x14ac:dyDescent="0.2">
      <c r="A176" s="248"/>
      <c r="B176" s="27" t="s">
        <v>128</v>
      </c>
      <c r="C176" s="71"/>
      <c r="D176" s="53">
        <v>1</v>
      </c>
      <c r="E176" s="51" t="s">
        <v>129</v>
      </c>
      <c r="G176" s="29"/>
      <c r="H176" s="45"/>
      <c r="I176" s="28"/>
    </row>
    <row r="177" spans="1:13" x14ac:dyDescent="0.2">
      <c r="A177" s="248"/>
      <c r="B177" s="69" t="s">
        <v>130</v>
      </c>
      <c r="C177" s="53"/>
      <c r="D177" s="52">
        <f>0.001*F175/(0.25*3.143*(0.0254*D176)^2)</f>
        <v>3.1744816605663537</v>
      </c>
      <c r="E177" s="62" t="s">
        <v>131</v>
      </c>
      <c r="G177" s="29"/>
      <c r="H177" s="45"/>
      <c r="I177" s="28"/>
    </row>
    <row r="178" spans="1:13" x14ac:dyDescent="0.2">
      <c r="A178" s="248"/>
      <c r="B178" s="27" t="s">
        <v>132</v>
      </c>
      <c r="C178" s="53"/>
      <c r="D178" s="52">
        <f>F175/(D14*D5)</f>
        <v>0.10728361187492828</v>
      </c>
      <c r="E178" s="62" t="s">
        <v>133</v>
      </c>
      <c r="G178" s="128">
        <f>'[3]SBR datos'!C88</f>
        <v>0.69260921040385626</v>
      </c>
      <c r="H178" s="63" t="s">
        <v>133</v>
      </c>
      <c r="I178" s="28" t="s">
        <v>134</v>
      </c>
    </row>
    <row r="179" spans="1:13" x14ac:dyDescent="0.2">
      <c r="A179" s="248"/>
      <c r="B179" s="20" t="s">
        <v>168</v>
      </c>
      <c r="C179" s="53"/>
      <c r="D179" s="95"/>
      <c r="E179" s="129"/>
    </row>
    <row r="180" spans="1:13" x14ac:dyDescent="0.2">
      <c r="A180" s="248"/>
      <c r="B180" s="27" t="s">
        <v>246</v>
      </c>
      <c r="C180" s="73"/>
      <c r="D180" s="130">
        <f>D99</f>
        <v>25</v>
      </c>
      <c r="E180" s="61" t="s">
        <v>138</v>
      </c>
    </row>
    <row r="181" spans="1:13" x14ac:dyDescent="0.2">
      <c r="A181" s="248"/>
      <c r="B181" s="70" t="s">
        <v>140</v>
      </c>
      <c r="C181" s="131"/>
      <c r="D181" s="132">
        <v>1000</v>
      </c>
      <c r="E181" s="61" t="s">
        <v>141</v>
      </c>
    </row>
    <row r="182" spans="1:13" x14ac:dyDescent="0.2">
      <c r="A182" s="248"/>
      <c r="B182" s="70" t="s">
        <v>148</v>
      </c>
      <c r="C182" s="71" t="s">
        <v>149</v>
      </c>
      <c r="D182" s="52">
        <v>101.33</v>
      </c>
      <c r="E182" s="62" t="s">
        <v>150</v>
      </c>
      <c r="H182" s="63" t="s">
        <v>656</v>
      </c>
      <c r="J182" s="63">
        <v>10</v>
      </c>
      <c r="K182" s="63" t="s">
        <v>657</v>
      </c>
    </row>
    <row r="183" spans="1:13" x14ac:dyDescent="0.2">
      <c r="A183" s="248"/>
      <c r="B183" s="70" t="s">
        <v>151</v>
      </c>
      <c r="C183" s="71"/>
      <c r="D183" s="52">
        <f>-9.81*28.97*D181/(8314*(273.15+D180))</f>
        <v>-0.11464963296434179</v>
      </c>
      <c r="E183" s="62"/>
      <c r="H183" s="63" t="s">
        <v>653</v>
      </c>
      <c r="J183" s="63">
        <v>106</v>
      </c>
      <c r="K183" s="63" t="s">
        <v>654</v>
      </c>
      <c r="L183" s="63">
        <v>6.3</v>
      </c>
      <c r="M183" s="63" t="s">
        <v>271</v>
      </c>
    </row>
    <row r="184" spans="1:13" x14ac:dyDescent="0.2">
      <c r="A184" s="248"/>
      <c r="B184" s="70" t="s">
        <v>152</v>
      </c>
      <c r="C184" s="71"/>
      <c r="D184" s="52">
        <f>D182*EXP(D183)</f>
        <v>90.353782803986036</v>
      </c>
      <c r="E184" s="62" t="s">
        <v>150</v>
      </c>
    </row>
    <row r="185" spans="1:13" x14ac:dyDescent="0.2">
      <c r="A185" s="248"/>
      <c r="B185" s="70" t="s">
        <v>169</v>
      </c>
      <c r="C185" s="53"/>
      <c r="D185" s="52">
        <f>D15-0.1</f>
        <v>1.2999999999999998</v>
      </c>
      <c r="E185" s="61" t="s">
        <v>85</v>
      </c>
    </row>
    <row r="186" spans="1:13" x14ac:dyDescent="0.2">
      <c r="A186" s="248"/>
      <c r="B186" s="70" t="s">
        <v>170</v>
      </c>
      <c r="C186" s="53"/>
      <c r="D186" s="52">
        <v>0.5</v>
      </c>
      <c r="E186" s="61" t="s">
        <v>85</v>
      </c>
    </row>
    <row r="187" spans="1:13" x14ac:dyDescent="0.2">
      <c r="A187" s="248"/>
      <c r="B187" s="70" t="s">
        <v>171</v>
      </c>
      <c r="C187" s="53"/>
      <c r="D187" s="52">
        <f>D186+D185</f>
        <v>1.7999999999999998</v>
      </c>
      <c r="E187" s="61" t="s">
        <v>85</v>
      </c>
      <c r="F187" s="89">
        <f>D187/0.707</f>
        <v>2.5459688826025459</v>
      </c>
      <c r="G187" s="63" t="s">
        <v>172</v>
      </c>
    </row>
    <row r="188" spans="1:13" x14ac:dyDescent="0.2">
      <c r="A188" s="248"/>
      <c r="B188" s="70"/>
      <c r="C188" s="53"/>
      <c r="D188" s="52">
        <f>D187*9.8</f>
        <v>17.64</v>
      </c>
      <c r="E188" s="61" t="s">
        <v>150</v>
      </c>
    </row>
    <row r="189" spans="1:13" x14ac:dyDescent="0.2">
      <c r="A189" s="248"/>
      <c r="B189" s="70" t="s">
        <v>173</v>
      </c>
      <c r="C189" s="71"/>
      <c r="D189" s="82">
        <v>0.5</v>
      </c>
      <c r="E189" s="61"/>
    </row>
    <row r="190" spans="1:13" x14ac:dyDescent="0.2">
      <c r="A190" s="248"/>
      <c r="B190" s="70" t="s">
        <v>174</v>
      </c>
      <c r="C190" s="71" t="s">
        <v>175</v>
      </c>
      <c r="D190" s="52">
        <f>101325*(D184/D182)*28.97/(8314*(273.15+D180))</f>
        <v>1.0559140552855111</v>
      </c>
      <c r="E190" s="61" t="s">
        <v>176</v>
      </c>
      <c r="F190" s="63" t="s">
        <v>177</v>
      </c>
    </row>
    <row r="191" spans="1:13" x14ac:dyDescent="0.2">
      <c r="A191" s="248"/>
      <c r="B191" s="70" t="s">
        <v>178</v>
      </c>
      <c r="C191" s="71" t="s">
        <v>179</v>
      </c>
      <c r="D191" s="52">
        <f>(0.001*D169*D190)*8.314*(273.15+D180)*(((D184+D188)/D184)^0.283-1)/(29.7*0.283*D189)</f>
        <v>0.39777220756446729</v>
      </c>
      <c r="E191" s="68" t="s">
        <v>180</v>
      </c>
      <c r="F191" s="65" t="s">
        <v>181</v>
      </c>
      <c r="G191" s="63" t="s">
        <v>182</v>
      </c>
      <c r="H191" s="63" t="s">
        <v>183</v>
      </c>
      <c r="I191" s="63">
        <f>D167/(1000*D191)</f>
        <v>1.6182670860563943E-2</v>
      </c>
    </row>
    <row r="192" spans="1:13" x14ac:dyDescent="0.2">
      <c r="A192" s="248"/>
      <c r="B192" s="69"/>
      <c r="C192" s="71"/>
      <c r="D192" s="52">
        <f>D191/0.76</f>
        <v>0.52338448363745693</v>
      </c>
      <c r="E192" s="61" t="s">
        <v>184</v>
      </c>
    </row>
    <row r="193" spans="1:10" x14ac:dyDescent="0.2">
      <c r="A193" s="248"/>
      <c r="B193" s="69" t="s">
        <v>193</v>
      </c>
      <c r="C193" s="71" t="s">
        <v>194</v>
      </c>
      <c r="D193" s="53">
        <v>8.8999999999999995E-4</v>
      </c>
      <c r="E193" s="61" t="s">
        <v>197</v>
      </c>
      <c r="F193" s="63" t="s">
        <v>195</v>
      </c>
      <c r="G193" s="63" t="s">
        <v>196</v>
      </c>
    </row>
    <row r="194" spans="1:10" x14ac:dyDescent="0.2">
      <c r="A194" s="248"/>
      <c r="B194" s="69" t="s">
        <v>192</v>
      </c>
      <c r="C194" s="71" t="s">
        <v>187</v>
      </c>
      <c r="D194" s="79">
        <f>(1000*D191*D189/(D193*D17))^0.5</f>
        <v>109.77848107907742</v>
      </c>
      <c r="E194" s="60" t="s">
        <v>188</v>
      </c>
      <c r="F194" s="63" t="s">
        <v>210</v>
      </c>
      <c r="H194" s="63" t="s">
        <v>189</v>
      </c>
      <c r="I194" s="63" t="s">
        <v>190</v>
      </c>
      <c r="J194" s="63" t="s">
        <v>191</v>
      </c>
    </row>
    <row r="195" spans="1:10" x14ac:dyDescent="0.2">
      <c r="A195" s="248"/>
      <c r="B195" s="65" t="s">
        <v>216</v>
      </c>
      <c r="C195" s="90" t="s">
        <v>187</v>
      </c>
      <c r="D195" s="99" t="s">
        <v>211</v>
      </c>
      <c r="E195" s="61"/>
      <c r="H195" s="63" t="s">
        <v>211</v>
      </c>
      <c r="I195" s="63" t="s">
        <v>212</v>
      </c>
    </row>
    <row r="196" spans="1:10" x14ac:dyDescent="0.2">
      <c r="A196" s="248"/>
      <c r="B196" s="25" t="s">
        <v>745</v>
      </c>
      <c r="C196" s="90"/>
      <c r="D196" s="99"/>
      <c r="E196" s="61"/>
    </row>
    <row r="197" spans="1:10" x14ac:dyDescent="0.2">
      <c r="A197" s="248"/>
      <c r="B197" s="69" t="s">
        <v>684</v>
      </c>
      <c r="C197" s="53"/>
      <c r="D197" s="121">
        <v>0.03</v>
      </c>
      <c r="E197" s="61"/>
    </row>
    <row r="198" spans="1:10" x14ac:dyDescent="0.2">
      <c r="A198" s="248"/>
      <c r="B198" s="69" t="s">
        <v>685</v>
      </c>
      <c r="C198" s="53"/>
      <c r="D198" s="73">
        <v>1000</v>
      </c>
      <c r="E198" s="61" t="s">
        <v>686</v>
      </c>
    </row>
    <row r="199" spans="1:10" x14ac:dyDescent="0.2">
      <c r="A199" s="248"/>
      <c r="B199" s="69" t="s">
        <v>687</v>
      </c>
      <c r="C199" s="53"/>
      <c r="D199" s="73">
        <f>D198*D197</f>
        <v>30</v>
      </c>
      <c r="E199" s="61" t="s">
        <v>688</v>
      </c>
    </row>
    <row r="200" spans="1:10" x14ac:dyDescent="0.2">
      <c r="A200" s="248"/>
      <c r="B200" s="69" t="s">
        <v>690</v>
      </c>
      <c r="C200" s="53"/>
      <c r="D200" s="73">
        <v>25</v>
      </c>
      <c r="E200" s="61" t="s">
        <v>688</v>
      </c>
    </row>
    <row r="201" spans="1:10" x14ac:dyDescent="0.2">
      <c r="A201" s="248"/>
      <c r="B201" s="69" t="s">
        <v>689</v>
      </c>
      <c r="C201" s="53"/>
      <c r="D201" s="52">
        <f>D200/D208</f>
        <v>9.0422453703703702</v>
      </c>
      <c r="E201" s="61" t="s">
        <v>185</v>
      </c>
      <c r="F201" s="30" t="s">
        <v>343</v>
      </c>
    </row>
    <row r="202" spans="1:10" x14ac:dyDescent="0.2">
      <c r="A202" s="248"/>
      <c r="B202" s="69" t="s">
        <v>749</v>
      </c>
      <c r="C202" s="53"/>
      <c r="D202" s="52">
        <f>D191</f>
        <v>0.39777220756446729</v>
      </c>
      <c r="E202" s="61" t="s">
        <v>180</v>
      </c>
      <c r="F202" s="30"/>
    </row>
    <row r="203" spans="1:10" x14ac:dyDescent="0.2">
      <c r="A203" s="248"/>
      <c r="B203" s="69" t="s">
        <v>192</v>
      </c>
      <c r="C203" s="71" t="s">
        <v>187</v>
      </c>
      <c r="D203" s="79">
        <f>(1000*D191*D189/(D193*(D198/1000)))^0.5</f>
        <v>472.72352632335571</v>
      </c>
      <c r="E203" s="60" t="s">
        <v>188</v>
      </c>
      <c r="F203" s="63" t="s">
        <v>210</v>
      </c>
    </row>
    <row r="204" spans="1:10" x14ac:dyDescent="0.2">
      <c r="A204" s="248"/>
      <c r="B204" s="25" t="s">
        <v>105</v>
      </c>
      <c r="C204" s="71"/>
      <c r="D204" s="53"/>
      <c r="E204" s="61"/>
    </row>
    <row r="205" spans="1:10" x14ac:dyDescent="0.2">
      <c r="A205" s="248"/>
      <c r="B205" s="134" t="s">
        <v>740</v>
      </c>
      <c r="C205" s="53"/>
      <c r="D205" s="96"/>
      <c r="E205" s="61"/>
    </row>
    <row r="206" spans="1:10" x14ac:dyDescent="0.2">
      <c r="A206" s="248"/>
      <c r="B206" s="69" t="s">
        <v>746</v>
      </c>
      <c r="C206" s="53"/>
      <c r="D206" s="98">
        <v>40</v>
      </c>
      <c r="E206" s="61" t="s">
        <v>681</v>
      </c>
    </row>
    <row r="207" spans="1:10" x14ac:dyDescent="0.2">
      <c r="A207" s="248"/>
      <c r="B207" s="69" t="s">
        <v>676</v>
      </c>
      <c r="C207" s="53"/>
      <c r="D207" s="96">
        <f>D3</f>
        <v>0.8</v>
      </c>
      <c r="E207" s="61" t="s">
        <v>250</v>
      </c>
    </row>
    <row r="208" spans="1:10" x14ac:dyDescent="0.2">
      <c r="A208" s="248"/>
      <c r="B208" s="69" t="s">
        <v>680</v>
      </c>
      <c r="C208" s="53"/>
      <c r="D208" s="96">
        <f>0.001*D206*D207*86.4</f>
        <v>2.7648000000000001</v>
      </c>
      <c r="E208" s="61" t="s">
        <v>106</v>
      </c>
    </row>
    <row r="209" spans="1:7" x14ac:dyDescent="0.2">
      <c r="A209" s="248"/>
      <c r="B209" s="69" t="s">
        <v>682</v>
      </c>
      <c r="C209" s="53"/>
      <c r="D209" s="52">
        <f>D208*((2*106.9)/(2*162.2))</f>
        <v>1.8221770653514182</v>
      </c>
      <c r="E209" s="61" t="s">
        <v>106</v>
      </c>
    </row>
    <row r="210" spans="1:7" x14ac:dyDescent="0.2">
      <c r="A210" s="248"/>
      <c r="B210" s="69" t="s">
        <v>747</v>
      </c>
      <c r="C210" s="53"/>
      <c r="D210" s="52">
        <f>0.7*D208</f>
        <v>1.93536</v>
      </c>
      <c r="E210" s="61" t="s">
        <v>106</v>
      </c>
      <c r="F210" s="63" t="s">
        <v>748</v>
      </c>
    </row>
    <row r="211" spans="1:7" x14ac:dyDescent="0.2">
      <c r="A211" s="248"/>
      <c r="B211" s="69" t="s">
        <v>683</v>
      </c>
      <c r="C211" s="53"/>
      <c r="D211" s="52">
        <f>D206*((3*56)/(2*162.2))</f>
        <v>20.715166461159065</v>
      </c>
      <c r="E211" s="61" t="s">
        <v>106</v>
      </c>
      <c r="F211" s="97" t="s">
        <v>70</v>
      </c>
    </row>
    <row r="212" spans="1:7" x14ac:dyDescent="0.2">
      <c r="A212" s="248"/>
      <c r="B212" s="69" t="s">
        <v>677</v>
      </c>
      <c r="C212" s="53" t="s">
        <v>678</v>
      </c>
      <c r="D212" s="96">
        <v>120</v>
      </c>
      <c r="E212" s="61" t="s">
        <v>95</v>
      </c>
      <c r="G212" s="89"/>
    </row>
    <row r="213" spans="1:7" x14ac:dyDescent="0.2">
      <c r="A213" s="248"/>
      <c r="B213" s="69" t="s">
        <v>679</v>
      </c>
      <c r="C213" s="53"/>
      <c r="D213" s="109">
        <v>0.85</v>
      </c>
      <c r="E213" s="61"/>
    </row>
    <row r="214" spans="1:7" x14ac:dyDescent="0.2">
      <c r="A214" s="248"/>
      <c r="B214" s="22" t="s">
        <v>375</v>
      </c>
      <c r="C214" s="71"/>
      <c r="D214" s="53">
        <f>D212*D213</f>
        <v>102</v>
      </c>
      <c r="E214" s="61" t="s">
        <v>95</v>
      </c>
    </row>
    <row r="215" spans="1:7" x14ac:dyDescent="0.2">
      <c r="A215" s="248"/>
      <c r="B215" s="69" t="s">
        <v>234</v>
      </c>
      <c r="C215" s="71"/>
      <c r="D215" s="52">
        <f>D214*D3*0.0864</f>
        <v>7.0502400000000014</v>
      </c>
      <c r="E215" s="61" t="s">
        <v>103</v>
      </c>
      <c r="F215" s="63" t="s">
        <v>235</v>
      </c>
    </row>
    <row r="216" spans="1:7" x14ac:dyDescent="0.2">
      <c r="A216" s="248"/>
      <c r="B216" s="147" t="s">
        <v>739</v>
      </c>
      <c r="C216" s="71"/>
      <c r="D216" s="53"/>
      <c r="E216" s="61"/>
    </row>
    <row r="217" spans="1:7" ht="15" x14ac:dyDescent="0.25">
      <c r="A217" s="248"/>
      <c r="B217" s="69" t="s">
        <v>380</v>
      </c>
      <c r="C217" s="18" t="s">
        <v>381</v>
      </c>
      <c r="D217" s="59">
        <v>0.6</v>
      </c>
      <c r="E217" s="61"/>
    </row>
    <row r="218" spans="1:7" ht="15" x14ac:dyDescent="0.25">
      <c r="A218" s="248"/>
      <c r="B218" s="69" t="s">
        <v>377</v>
      </c>
      <c r="C218" s="18" t="s">
        <v>378</v>
      </c>
      <c r="D218" s="59">
        <v>0.06</v>
      </c>
      <c r="E218" s="61"/>
    </row>
    <row r="219" spans="1:7" x14ac:dyDescent="0.2">
      <c r="A219" s="248"/>
      <c r="B219" s="69" t="s">
        <v>374</v>
      </c>
      <c r="C219" s="71"/>
      <c r="D219" s="52">
        <f>D62</f>
        <v>5.5296000000000003</v>
      </c>
      <c r="E219" s="61" t="s">
        <v>103</v>
      </c>
    </row>
    <row r="220" spans="1:7" x14ac:dyDescent="0.2">
      <c r="A220" s="248"/>
      <c r="B220" s="69" t="s">
        <v>376</v>
      </c>
      <c r="C220" s="71" t="s">
        <v>248</v>
      </c>
      <c r="D220" s="73">
        <v>10</v>
      </c>
      <c r="E220" s="61" t="s">
        <v>185</v>
      </c>
      <c r="F220" s="63" t="s">
        <v>379</v>
      </c>
    </row>
    <row r="221" spans="1:7" x14ac:dyDescent="0.2">
      <c r="A221" s="248"/>
      <c r="B221" s="69" t="s">
        <v>380</v>
      </c>
      <c r="C221" s="71" t="s">
        <v>381</v>
      </c>
      <c r="D221" s="52">
        <v>0.6</v>
      </c>
      <c r="E221" s="61"/>
    </row>
    <row r="222" spans="1:7" x14ac:dyDescent="0.2">
      <c r="A222" s="248"/>
      <c r="B222" s="69" t="s">
        <v>377</v>
      </c>
      <c r="C222" s="71" t="s">
        <v>378</v>
      </c>
      <c r="D222" s="52">
        <v>0.06</v>
      </c>
      <c r="E222" s="61" t="s">
        <v>97</v>
      </c>
      <c r="F222" s="63" t="s">
        <v>379</v>
      </c>
    </row>
    <row r="223" spans="1:7" x14ac:dyDescent="0.2">
      <c r="A223" s="248"/>
      <c r="B223" s="69" t="s">
        <v>233</v>
      </c>
      <c r="C223" s="71"/>
      <c r="D223" s="52">
        <f>D221*D219/(1+D222*D221)</f>
        <v>3.2024710424710428</v>
      </c>
      <c r="E223" s="61" t="s">
        <v>103</v>
      </c>
      <c r="F223" s="83"/>
    </row>
    <row r="224" spans="1:7" x14ac:dyDescent="0.2">
      <c r="A224" s="248"/>
      <c r="B224" s="134" t="s">
        <v>741</v>
      </c>
      <c r="C224" s="71"/>
      <c r="D224" s="52"/>
      <c r="E224" s="61"/>
    </row>
    <row r="225" spans="1:8" x14ac:dyDescent="0.2">
      <c r="A225" s="248"/>
      <c r="B225" s="69" t="s">
        <v>382</v>
      </c>
      <c r="C225" s="71"/>
      <c r="D225" s="52">
        <f>D223+D215+D210</f>
        <v>12.188071042471044</v>
      </c>
      <c r="E225" s="61" t="s">
        <v>103</v>
      </c>
    </row>
    <row r="226" spans="1:8" x14ac:dyDescent="0.2">
      <c r="A226" s="248"/>
      <c r="B226" s="69" t="s">
        <v>224</v>
      </c>
      <c r="C226" s="71"/>
      <c r="D226" s="121">
        <v>0.04</v>
      </c>
      <c r="E226" s="61"/>
    </row>
    <row r="227" spans="1:8" x14ac:dyDescent="0.2">
      <c r="A227" s="248"/>
      <c r="B227" s="69"/>
      <c r="C227" s="71"/>
      <c r="D227" s="73">
        <f>D226*1000000</f>
        <v>40000</v>
      </c>
      <c r="E227" s="61" t="s">
        <v>95</v>
      </c>
    </row>
    <row r="228" spans="1:8" x14ac:dyDescent="0.2">
      <c r="A228" s="248"/>
      <c r="B228" s="69" t="s">
        <v>225</v>
      </c>
      <c r="C228" s="71"/>
      <c r="D228" s="52">
        <f>D225/D226</f>
        <v>304.70177606177612</v>
      </c>
      <c r="E228" s="61" t="s">
        <v>226</v>
      </c>
    </row>
    <row r="229" spans="1:8" x14ac:dyDescent="0.2">
      <c r="A229" s="248"/>
      <c r="B229" s="69" t="s">
        <v>227</v>
      </c>
      <c r="C229" s="71"/>
      <c r="D229" s="52">
        <f>D31*D33</f>
        <v>1.0434782608695652</v>
      </c>
      <c r="E229" s="61" t="s">
        <v>228</v>
      </c>
    </row>
    <row r="230" spans="1:8" x14ac:dyDescent="0.2">
      <c r="A230" s="248"/>
      <c r="B230" s="69" t="s">
        <v>229</v>
      </c>
      <c r="C230" s="71"/>
      <c r="D230" s="52">
        <f>D228/(3600*D229)</f>
        <v>8.1112741312741335E-2</v>
      </c>
      <c r="E230" s="61" t="s">
        <v>64</v>
      </c>
    </row>
    <row r="231" spans="1:8" x14ac:dyDescent="0.2">
      <c r="A231" s="248"/>
      <c r="B231" s="69"/>
      <c r="C231" s="71"/>
      <c r="D231" s="52">
        <f>D230*60</f>
        <v>4.8667644787644804</v>
      </c>
      <c r="E231" s="61" t="s">
        <v>230</v>
      </c>
    </row>
    <row r="232" spans="1:8" x14ac:dyDescent="0.2">
      <c r="A232" s="248"/>
      <c r="B232" s="69" t="s">
        <v>231</v>
      </c>
      <c r="C232" s="71"/>
      <c r="D232" s="52" t="s">
        <v>232</v>
      </c>
      <c r="E232" s="61"/>
    </row>
    <row r="233" spans="1:8" x14ac:dyDescent="0.2">
      <c r="A233" s="248"/>
      <c r="B233" s="69" t="s">
        <v>314</v>
      </c>
      <c r="C233" s="53"/>
      <c r="D233" s="98">
        <f>3*110</f>
        <v>330</v>
      </c>
      <c r="E233" s="61" t="s">
        <v>315</v>
      </c>
      <c r="F233" s="63" t="s">
        <v>316</v>
      </c>
      <c r="G233" s="63" t="s">
        <v>317</v>
      </c>
      <c r="H233" s="63" t="s">
        <v>318</v>
      </c>
    </row>
    <row r="234" spans="1:8" x14ac:dyDescent="0.2">
      <c r="A234" s="248"/>
      <c r="B234" s="69" t="s">
        <v>319</v>
      </c>
      <c r="C234" s="53"/>
      <c r="D234" s="98">
        <f>D233/(D226)</f>
        <v>8250</v>
      </c>
      <c r="E234" s="61" t="s">
        <v>320</v>
      </c>
    </row>
    <row r="235" spans="1:8" x14ac:dyDescent="0.2">
      <c r="A235" s="248"/>
      <c r="B235" s="69"/>
      <c r="C235" s="53"/>
      <c r="D235" s="96">
        <f>D234/365</f>
        <v>22.602739726027398</v>
      </c>
      <c r="E235" s="61" t="s">
        <v>321</v>
      </c>
    </row>
    <row r="236" spans="1:8" x14ac:dyDescent="0.2">
      <c r="A236" s="248"/>
      <c r="B236" s="69" t="s">
        <v>322</v>
      </c>
      <c r="C236" s="53"/>
      <c r="D236" s="96">
        <f>D228*365/D234</f>
        <v>13.480745243945245</v>
      </c>
      <c r="E236" s="61" t="s">
        <v>84</v>
      </c>
    </row>
    <row r="237" spans="1:8" x14ac:dyDescent="0.2">
      <c r="A237" s="248"/>
      <c r="B237" s="69" t="s">
        <v>673</v>
      </c>
      <c r="C237" s="53"/>
      <c r="D237" s="98">
        <v>1</v>
      </c>
      <c r="E237" s="61" t="s">
        <v>201</v>
      </c>
    </row>
    <row r="238" spans="1:8" x14ac:dyDescent="0.2">
      <c r="A238" s="248"/>
      <c r="B238" s="69" t="s">
        <v>674</v>
      </c>
      <c r="C238" s="53"/>
      <c r="D238" s="96">
        <v>3.76</v>
      </c>
      <c r="E238" s="61" t="s">
        <v>85</v>
      </c>
    </row>
    <row r="239" spans="1:8" x14ac:dyDescent="0.2">
      <c r="A239" s="248"/>
      <c r="B239" s="69" t="s">
        <v>675</v>
      </c>
      <c r="C239" s="53"/>
      <c r="D239" s="96">
        <v>3.5</v>
      </c>
      <c r="E239" s="61" t="s">
        <v>85</v>
      </c>
    </row>
    <row r="240" spans="1:8" x14ac:dyDescent="0.2">
      <c r="A240" s="248"/>
      <c r="B240" s="69" t="s">
        <v>323</v>
      </c>
      <c r="C240" s="53"/>
      <c r="D240" s="96">
        <f>D237*D238*D239</f>
        <v>13.16</v>
      </c>
      <c r="E240" s="61" t="s">
        <v>84</v>
      </c>
      <c r="F240" s="30" t="s">
        <v>343</v>
      </c>
      <c r="G240" s="89">
        <f>D236</f>
        <v>13.480745243945245</v>
      </c>
    </row>
    <row r="241" spans="1:12" x14ac:dyDescent="0.2">
      <c r="A241" s="248"/>
      <c r="B241" s="69" t="s">
        <v>709</v>
      </c>
      <c r="C241" s="53"/>
      <c r="D241" s="96">
        <v>0.3</v>
      </c>
      <c r="E241" s="61" t="s">
        <v>85</v>
      </c>
      <c r="F241" s="30"/>
      <c r="G241" s="89"/>
    </row>
    <row r="242" spans="1:12" x14ac:dyDescent="0.2">
      <c r="A242" s="248"/>
      <c r="B242" s="69" t="s">
        <v>704</v>
      </c>
      <c r="C242" s="71"/>
      <c r="D242" s="52">
        <f>D241*D240</f>
        <v>3.948</v>
      </c>
      <c r="E242" s="61" t="s">
        <v>80</v>
      </c>
      <c r="F242" s="30"/>
      <c r="G242" s="63" t="s">
        <v>705</v>
      </c>
      <c r="H242" s="133">
        <f>J242*D242</f>
        <v>3158400</v>
      </c>
      <c r="I242" s="63" t="s">
        <v>706</v>
      </c>
      <c r="J242" s="133">
        <v>800000</v>
      </c>
    </row>
    <row r="243" spans="1:12" x14ac:dyDescent="0.2">
      <c r="A243" s="248"/>
      <c r="B243" s="69" t="s">
        <v>708</v>
      </c>
      <c r="C243" s="71"/>
      <c r="D243" s="52">
        <f>D242/0.05</f>
        <v>78.959999999999994</v>
      </c>
      <c r="E243" s="61" t="s">
        <v>201</v>
      </c>
    </row>
    <row r="244" spans="1:12" x14ac:dyDescent="0.2">
      <c r="A244" s="248"/>
      <c r="B244" s="25" t="s">
        <v>694</v>
      </c>
      <c r="C244" s="71"/>
      <c r="D244" s="52"/>
      <c r="E244" s="61"/>
    </row>
    <row r="245" spans="1:12" x14ac:dyDescent="0.2">
      <c r="A245" s="248"/>
      <c r="B245" s="69" t="s">
        <v>696</v>
      </c>
      <c r="C245" s="71"/>
      <c r="D245" s="76">
        <f>D3*D32/(D30+D31)</f>
        <v>1.6727272727272728</v>
      </c>
      <c r="E245" s="60" t="s">
        <v>64</v>
      </c>
    </row>
    <row r="246" spans="1:12" x14ac:dyDescent="0.2">
      <c r="A246" s="248"/>
      <c r="B246" s="69" t="s">
        <v>695</v>
      </c>
      <c r="C246" s="71"/>
      <c r="D246" s="52">
        <v>2</v>
      </c>
      <c r="E246" s="61" t="s">
        <v>201</v>
      </c>
    </row>
    <row r="247" spans="1:12" x14ac:dyDescent="0.2">
      <c r="A247" s="248"/>
      <c r="B247" s="69" t="s">
        <v>292</v>
      </c>
      <c r="C247" s="53"/>
      <c r="D247" s="52">
        <f>1.3-0.3</f>
        <v>1</v>
      </c>
      <c r="E247" s="62" t="s">
        <v>85</v>
      </c>
      <c r="F247" s="135">
        <f>D247/0.707</f>
        <v>1.4144271570014144</v>
      </c>
      <c r="G247" s="61" t="s">
        <v>384</v>
      </c>
      <c r="H247" s="30" t="s">
        <v>343</v>
      </c>
    </row>
    <row r="248" spans="1:12" x14ac:dyDescent="0.2">
      <c r="A248" s="248"/>
      <c r="B248" s="31" t="s">
        <v>707</v>
      </c>
      <c r="C248" s="53" t="s">
        <v>264</v>
      </c>
      <c r="D248" s="52">
        <f>D245/D246</f>
        <v>0.83636363636363642</v>
      </c>
      <c r="E248" s="62" t="s">
        <v>64</v>
      </c>
      <c r="F248" s="85">
        <f>D248*15.85</f>
        <v>13.256363636363638</v>
      </c>
      <c r="G248" s="62" t="s">
        <v>385</v>
      </c>
      <c r="H248" s="74" t="s">
        <v>386</v>
      </c>
      <c r="I248" s="136">
        <f>85*($F$247/10)^0.5</f>
        <v>31.967540113895563</v>
      </c>
      <c r="J248" s="63" t="s">
        <v>387</v>
      </c>
      <c r="K248" s="136">
        <f>I248/15.85</f>
        <v>2.0168795024539787</v>
      </c>
      <c r="L248" s="63" t="s">
        <v>64</v>
      </c>
    </row>
    <row r="249" spans="1:12" x14ac:dyDescent="0.2">
      <c r="A249" s="248"/>
      <c r="B249" s="69" t="s">
        <v>293</v>
      </c>
      <c r="C249" s="53"/>
      <c r="D249" s="52">
        <f>(19.6*D247)^0.5</f>
        <v>4.4271887242357311</v>
      </c>
      <c r="E249" s="61" t="s">
        <v>131</v>
      </c>
      <c r="F249" s="137">
        <f>D235</f>
        <v>22.602739726027398</v>
      </c>
      <c r="G249" s="63" t="s">
        <v>129</v>
      </c>
      <c r="H249" s="74" t="s">
        <v>388</v>
      </c>
      <c r="I249" s="136">
        <f>112*(F247/10)^0.5</f>
        <v>42.121935208897682</v>
      </c>
      <c r="J249" s="63" t="s">
        <v>387</v>
      </c>
      <c r="K249" s="136">
        <f>I249/15.85</f>
        <v>2.6575353444099483</v>
      </c>
      <c r="L249" s="63" t="s">
        <v>64</v>
      </c>
    </row>
    <row r="250" spans="1:12" x14ac:dyDescent="0.2">
      <c r="A250" s="248"/>
      <c r="B250" s="31" t="s">
        <v>267</v>
      </c>
      <c r="C250" s="53" t="s">
        <v>149</v>
      </c>
      <c r="D250" s="87">
        <f>D248*(D237^2/19.6)/102</f>
        <v>4.1834915784495617E-4</v>
      </c>
      <c r="E250" s="62" t="s">
        <v>180</v>
      </c>
      <c r="H250" s="74" t="s">
        <v>389</v>
      </c>
      <c r="I250" s="136">
        <f>266*(F247/10)^0.5</f>
        <v>100.03959612113201</v>
      </c>
      <c r="J250" s="63" t="s">
        <v>387</v>
      </c>
      <c r="K250" s="136">
        <f>I250/15.85</f>
        <v>6.3116464429736281</v>
      </c>
      <c r="L250" s="63" t="s">
        <v>64</v>
      </c>
    </row>
    <row r="251" spans="1:12" x14ac:dyDescent="0.2">
      <c r="A251" s="248"/>
      <c r="B251" s="31" t="s">
        <v>698</v>
      </c>
      <c r="C251" s="53"/>
      <c r="D251" s="104">
        <v>2</v>
      </c>
      <c r="E251" s="62" t="s">
        <v>129</v>
      </c>
      <c r="F251" s="138" t="s">
        <v>251</v>
      </c>
      <c r="H251" s="74"/>
      <c r="I251" s="136"/>
      <c r="K251" s="136"/>
    </row>
    <row r="252" spans="1:12" x14ac:dyDescent="0.2">
      <c r="A252" s="248"/>
      <c r="B252" s="25" t="s">
        <v>390</v>
      </c>
      <c r="C252" s="71"/>
      <c r="D252" s="53"/>
      <c r="E252" s="61"/>
    </row>
    <row r="253" spans="1:12" x14ac:dyDescent="0.2">
      <c r="A253" s="248"/>
      <c r="B253" s="69" t="s">
        <v>186</v>
      </c>
      <c r="C253" s="71"/>
      <c r="D253" s="53">
        <v>0.7</v>
      </c>
      <c r="E253" s="61"/>
    </row>
    <row r="254" spans="1:12" x14ac:dyDescent="0.2">
      <c r="A254" s="248"/>
      <c r="B254" s="69" t="s">
        <v>326</v>
      </c>
      <c r="C254" s="71"/>
      <c r="D254" s="52">
        <f>D3/D253</f>
        <v>1.142857142857143</v>
      </c>
      <c r="E254" s="61" t="s">
        <v>64</v>
      </c>
    </row>
    <row r="255" spans="1:12" x14ac:dyDescent="0.2">
      <c r="A255" s="248"/>
      <c r="B255" s="69"/>
      <c r="C255" s="71"/>
      <c r="D255" s="73">
        <f>D254*60</f>
        <v>68.571428571428584</v>
      </c>
      <c r="E255" s="61" t="s">
        <v>230</v>
      </c>
    </row>
    <row r="256" spans="1:12" x14ac:dyDescent="0.2">
      <c r="A256" s="248"/>
      <c r="B256" s="69" t="s">
        <v>391</v>
      </c>
      <c r="C256" s="71"/>
      <c r="D256" s="53">
        <v>50</v>
      </c>
      <c r="E256" s="61" t="s">
        <v>392</v>
      </c>
      <c r="F256" s="63" t="s">
        <v>702</v>
      </c>
      <c r="G256" s="63" t="s">
        <v>359</v>
      </c>
      <c r="H256" s="63" t="s">
        <v>393</v>
      </c>
    </row>
    <row r="257" spans="1:10" x14ac:dyDescent="0.2">
      <c r="A257" s="248"/>
      <c r="B257" s="69"/>
      <c r="C257" s="71"/>
      <c r="D257" s="95">
        <f>D256/86.4</f>
        <v>0.57870370370370372</v>
      </c>
      <c r="E257" s="61" t="s">
        <v>394</v>
      </c>
      <c r="F257" s="63">
        <v>1.2E-2</v>
      </c>
      <c r="G257" s="63" t="s">
        <v>131</v>
      </c>
      <c r="H257" s="63">
        <f>F257*86400</f>
        <v>1036.8</v>
      </c>
      <c r="I257" s="63" t="s">
        <v>392</v>
      </c>
      <c r="J257" s="63" t="s">
        <v>424</v>
      </c>
    </row>
    <row r="258" spans="1:10" x14ac:dyDescent="0.2">
      <c r="A258" s="248"/>
      <c r="B258" s="69" t="s">
        <v>699</v>
      </c>
      <c r="C258" s="71"/>
      <c r="D258" s="52">
        <v>0.7</v>
      </c>
      <c r="E258" s="61" t="s">
        <v>252</v>
      </c>
    </row>
    <row r="259" spans="1:10" x14ac:dyDescent="0.2">
      <c r="A259" s="248"/>
      <c r="B259" s="69" t="s">
        <v>349</v>
      </c>
      <c r="C259" s="71"/>
      <c r="D259" s="52">
        <f>D258*24*60/D256</f>
        <v>20.159999999999997</v>
      </c>
      <c r="E259" s="61" t="s">
        <v>223</v>
      </c>
      <c r="F259" s="63" t="s">
        <v>701</v>
      </c>
      <c r="G259" s="63" t="s">
        <v>700</v>
      </c>
    </row>
    <row r="260" spans="1:10" x14ac:dyDescent="0.2">
      <c r="A260" s="248"/>
      <c r="B260" s="69" t="s">
        <v>395</v>
      </c>
      <c r="C260" s="71"/>
      <c r="D260" s="52">
        <f>D254/D257</f>
        <v>1.9748571428571431</v>
      </c>
      <c r="E260" s="61" t="s">
        <v>84</v>
      </c>
      <c r="J260" s="63" t="s">
        <v>425</v>
      </c>
    </row>
    <row r="261" spans="1:10" x14ac:dyDescent="0.2">
      <c r="A261" s="248"/>
      <c r="B261" s="69" t="s">
        <v>396</v>
      </c>
      <c r="C261" s="71"/>
      <c r="D261" s="52">
        <f>D262*D263</f>
        <v>5.4287999999999998</v>
      </c>
      <c r="E261" s="61" t="s">
        <v>84</v>
      </c>
      <c r="F261" s="30" t="s">
        <v>343</v>
      </c>
    </row>
    <row r="262" spans="1:10" x14ac:dyDescent="0.2">
      <c r="A262" s="248"/>
      <c r="B262" s="69" t="s">
        <v>397</v>
      </c>
      <c r="C262" s="71"/>
      <c r="D262" s="52">
        <f>1.96-2*0.2</f>
        <v>1.56</v>
      </c>
      <c r="E262" s="61" t="s">
        <v>85</v>
      </c>
    </row>
    <row r="263" spans="1:10" x14ac:dyDescent="0.2">
      <c r="A263" s="248"/>
      <c r="B263" s="69" t="s">
        <v>398</v>
      </c>
      <c r="C263" s="71"/>
      <c r="D263" s="52">
        <f>3.75-0.27</f>
        <v>3.48</v>
      </c>
      <c r="E263" s="61" t="s">
        <v>85</v>
      </c>
    </row>
    <row r="264" spans="1:10" x14ac:dyDescent="0.2">
      <c r="A264" s="248"/>
      <c r="B264" s="69" t="s">
        <v>693</v>
      </c>
      <c r="C264" s="71"/>
      <c r="D264" s="52">
        <f>D34*(1-H31)/D261</f>
        <v>0.31830238726790466</v>
      </c>
      <c r="E264" s="61" t="s">
        <v>85</v>
      </c>
      <c r="F264" s="30" t="s">
        <v>343</v>
      </c>
    </row>
    <row r="265" spans="1:10" x14ac:dyDescent="0.2">
      <c r="A265" s="248"/>
      <c r="B265" s="69" t="s">
        <v>704</v>
      </c>
      <c r="C265" s="71"/>
      <c r="D265" s="52">
        <f>D261*D258</f>
        <v>3.8001599999999995</v>
      </c>
      <c r="E265" s="61" t="s">
        <v>80</v>
      </c>
      <c r="F265" s="30"/>
      <c r="G265" s="63" t="s">
        <v>705</v>
      </c>
      <c r="H265" s="133">
        <f>J265*D265</f>
        <v>3040127.9999999995</v>
      </c>
      <c r="I265" s="63" t="s">
        <v>706</v>
      </c>
      <c r="J265" s="133">
        <v>800000</v>
      </c>
    </row>
    <row r="266" spans="1:10" x14ac:dyDescent="0.2">
      <c r="A266" s="248"/>
      <c r="B266" s="69" t="s">
        <v>708</v>
      </c>
      <c r="C266" s="71"/>
      <c r="D266" s="52">
        <f>D265/0.05</f>
        <v>76.003199999999993</v>
      </c>
      <c r="E266" s="61" t="s">
        <v>201</v>
      </c>
    </row>
    <row r="267" spans="1:10" x14ac:dyDescent="0.2">
      <c r="A267" s="248"/>
      <c r="B267" s="25" t="s">
        <v>399</v>
      </c>
      <c r="C267" s="71"/>
      <c r="D267" s="53"/>
      <c r="E267" s="61"/>
    </row>
    <row r="268" spans="1:10" x14ac:dyDescent="0.2">
      <c r="A268" s="248"/>
      <c r="B268" s="69" t="s">
        <v>400</v>
      </c>
      <c r="C268" s="71"/>
      <c r="D268" s="53">
        <v>5</v>
      </c>
      <c r="E268" s="61" t="s">
        <v>95</v>
      </c>
      <c r="F268" s="63" t="s">
        <v>401</v>
      </c>
    </row>
    <row r="269" spans="1:10" x14ac:dyDescent="0.2">
      <c r="A269" s="248"/>
      <c r="B269" s="69" t="s">
        <v>402</v>
      </c>
      <c r="C269" s="71"/>
      <c r="D269" s="53">
        <f>D268*D3*86.4</f>
        <v>345.6</v>
      </c>
      <c r="E269" s="61" t="s">
        <v>403</v>
      </c>
    </row>
    <row r="270" spans="1:10" x14ac:dyDescent="0.2">
      <c r="A270" s="248"/>
      <c r="B270" s="69"/>
      <c r="C270" s="71"/>
      <c r="D270" s="53">
        <f>D269/24</f>
        <v>14.4</v>
      </c>
      <c r="E270" s="61" t="s">
        <v>404</v>
      </c>
    </row>
    <row r="271" spans="1:10" x14ac:dyDescent="0.2">
      <c r="A271" s="248"/>
      <c r="B271" s="69" t="s">
        <v>418</v>
      </c>
      <c r="C271" s="71"/>
      <c r="D271" s="53">
        <v>1400</v>
      </c>
      <c r="E271" s="61" t="s">
        <v>422</v>
      </c>
      <c r="F271" s="139" t="s">
        <v>405</v>
      </c>
      <c r="G271" s="75"/>
      <c r="H271" s="69">
        <v>500</v>
      </c>
      <c r="I271" s="61" t="s">
        <v>403</v>
      </c>
    </row>
    <row r="272" spans="1:10" x14ac:dyDescent="0.2">
      <c r="A272" s="248"/>
      <c r="B272" s="69" t="s">
        <v>419</v>
      </c>
      <c r="C272" s="71"/>
      <c r="D272" s="52">
        <f>D271/D269</f>
        <v>4.0509259259259256</v>
      </c>
      <c r="E272" s="61" t="s">
        <v>185</v>
      </c>
      <c r="G272" s="74"/>
    </row>
    <row r="273" spans="1:8" x14ac:dyDescent="0.2">
      <c r="A273" s="248"/>
      <c r="B273" s="69" t="s">
        <v>408</v>
      </c>
      <c r="C273" s="71"/>
      <c r="D273" s="52">
        <f>1/D272</f>
        <v>0.24685714285714289</v>
      </c>
      <c r="E273" s="61" t="s">
        <v>201</v>
      </c>
    </row>
    <row r="274" spans="1:8" x14ac:dyDescent="0.2">
      <c r="A274" s="248"/>
      <c r="B274" s="69" t="s">
        <v>417</v>
      </c>
      <c r="C274" s="71"/>
      <c r="D274" s="53">
        <v>300</v>
      </c>
      <c r="E274" s="61" t="s">
        <v>406</v>
      </c>
    </row>
    <row r="275" spans="1:8" x14ac:dyDescent="0.2">
      <c r="A275" s="248"/>
      <c r="B275" s="69" t="s">
        <v>407</v>
      </c>
      <c r="C275" s="71"/>
      <c r="D275" s="53">
        <v>12</v>
      </c>
      <c r="E275" s="61" t="s">
        <v>67</v>
      </c>
    </row>
    <row r="276" spans="1:8" x14ac:dyDescent="0.2">
      <c r="A276" s="248"/>
      <c r="B276" s="69" t="s">
        <v>409</v>
      </c>
      <c r="C276" s="71"/>
      <c r="D276" s="53">
        <v>9</v>
      </c>
      <c r="E276" s="61" t="s">
        <v>410</v>
      </c>
    </row>
    <row r="277" spans="1:8" x14ac:dyDescent="0.2">
      <c r="A277" s="248"/>
      <c r="B277" s="69" t="s">
        <v>411</v>
      </c>
      <c r="C277" s="71"/>
      <c r="D277" s="95">
        <f>D278/10000</f>
        <v>0.46666666666666667</v>
      </c>
      <c r="E277" s="61" t="s">
        <v>332</v>
      </c>
      <c r="F277" s="140">
        <v>4.9000000000000002E-2</v>
      </c>
      <c r="G277" s="63" t="s">
        <v>412</v>
      </c>
    </row>
    <row r="278" spans="1:8" x14ac:dyDescent="0.2">
      <c r="A278" s="248"/>
      <c r="B278" s="69"/>
      <c r="C278" s="71"/>
      <c r="D278" s="73">
        <f>D271*1000/D274</f>
        <v>4666.666666666667</v>
      </c>
      <c r="E278" s="61" t="s">
        <v>95</v>
      </c>
      <c r="F278" s="63" t="s">
        <v>421</v>
      </c>
    </row>
    <row r="279" spans="1:8" x14ac:dyDescent="0.2">
      <c r="A279" s="248"/>
      <c r="B279" s="69" t="s">
        <v>414</v>
      </c>
      <c r="C279" s="71"/>
      <c r="D279" s="121">
        <f>D30/D32</f>
        <v>0.43478260869565211</v>
      </c>
      <c r="E279" s="61"/>
    </row>
    <row r="280" spans="1:8" x14ac:dyDescent="0.2">
      <c r="A280" s="248"/>
      <c r="B280" s="69" t="s">
        <v>413</v>
      </c>
      <c r="C280" s="71"/>
      <c r="D280" s="52">
        <f>D268*D3*60/(D278*D279)</f>
        <v>0.1182857142857143</v>
      </c>
      <c r="E280" s="61" t="s">
        <v>415</v>
      </c>
    </row>
    <row r="281" spans="1:8" x14ac:dyDescent="0.2">
      <c r="A281" s="248"/>
      <c r="B281" s="69"/>
      <c r="C281" s="71"/>
      <c r="D281" s="141">
        <f>D274*D273*60/(D277*86400)</f>
        <v>0.11020408163265306</v>
      </c>
      <c r="E281" s="142" t="s">
        <v>415</v>
      </c>
      <c r="F281" s="63" t="s">
        <v>420</v>
      </c>
    </row>
    <row r="282" spans="1:8" x14ac:dyDescent="0.2">
      <c r="A282" s="248"/>
      <c r="B282" s="69" t="s">
        <v>416</v>
      </c>
      <c r="C282" s="71"/>
      <c r="D282" s="52" t="s">
        <v>423</v>
      </c>
      <c r="E282" s="61"/>
    </row>
    <row r="283" spans="1:8" x14ac:dyDescent="0.2">
      <c r="A283" s="248"/>
      <c r="B283" s="69" t="s">
        <v>646</v>
      </c>
      <c r="C283" s="71"/>
      <c r="D283" s="52">
        <f>'Peso Atomico'!C23</f>
        <v>35.453000000000003</v>
      </c>
      <c r="E283" s="61"/>
    </row>
    <row r="284" spans="1:8" x14ac:dyDescent="0.2">
      <c r="A284" s="248"/>
      <c r="B284" s="69" t="s">
        <v>643</v>
      </c>
      <c r="C284" s="71"/>
      <c r="D284" s="52">
        <f>'Peso Atomico'!C90</f>
        <v>22.98977</v>
      </c>
      <c r="E284" s="61"/>
    </row>
    <row r="285" spans="1:8" x14ac:dyDescent="0.2">
      <c r="A285" s="248"/>
      <c r="B285" s="69" t="s">
        <v>644</v>
      </c>
      <c r="C285" s="71"/>
      <c r="D285" s="52">
        <f>'Peso Atomico'!C70</f>
        <v>15.9994</v>
      </c>
      <c r="E285" s="61"/>
    </row>
    <row r="286" spans="1:8" x14ac:dyDescent="0.2">
      <c r="A286" s="248"/>
      <c r="B286" s="69" t="s">
        <v>645</v>
      </c>
      <c r="C286" s="71"/>
      <c r="D286" s="52">
        <f>'Peso Atomico'!C45</f>
        <v>1.0079</v>
      </c>
      <c r="E286" s="61"/>
    </row>
    <row r="287" spans="1:8" x14ac:dyDescent="0.2">
      <c r="A287" s="248"/>
      <c r="B287" s="69" t="s">
        <v>426</v>
      </c>
      <c r="C287" s="71"/>
      <c r="D287" s="52">
        <f>D283/D284</f>
        <v>1.5421206910725946</v>
      </c>
      <c r="E287" s="61"/>
      <c r="G287" s="63" t="s">
        <v>434</v>
      </c>
      <c r="H287" s="63">
        <v>40</v>
      </c>
    </row>
    <row r="288" spans="1:8" x14ac:dyDescent="0.2">
      <c r="A288" s="248"/>
      <c r="B288" s="69" t="s">
        <v>427</v>
      </c>
      <c r="C288" s="71"/>
      <c r="D288" s="52">
        <f>D269/D287</f>
        <v>224.10697295010294</v>
      </c>
      <c r="E288" s="61" t="s">
        <v>403</v>
      </c>
    </row>
    <row r="289" spans="1:8" x14ac:dyDescent="0.2">
      <c r="A289" s="248"/>
      <c r="B289" s="69" t="s">
        <v>433</v>
      </c>
      <c r="C289" s="71"/>
      <c r="D289" s="52">
        <f>(D284+D285+D286)/D284</f>
        <v>1.739776865971256</v>
      </c>
      <c r="E289" s="61"/>
      <c r="F289" s="63" t="s">
        <v>343</v>
      </c>
    </row>
    <row r="290" spans="1:8" x14ac:dyDescent="0.2">
      <c r="A290" s="248"/>
      <c r="B290" s="69" t="s">
        <v>428</v>
      </c>
      <c r="C290" s="71"/>
      <c r="D290" s="52">
        <f>D288*D289/1000</f>
        <v>0.38989612704143511</v>
      </c>
      <c r="E290" s="61" t="s">
        <v>106</v>
      </c>
    </row>
    <row r="291" spans="1:8" x14ac:dyDescent="0.2">
      <c r="A291" s="248"/>
      <c r="B291" s="69" t="s">
        <v>429</v>
      </c>
      <c r="C291" s="71"/>
      <c r="D291" s="52">
        <f>D223</f>
        <v>3.2024710424710428</v>
      </c>
      <c r="E291" s="61" t="s">
        <v>106</v>
      </c>
    </row>
    <row r="292" spans="1:8" x14ac:dyDescent="0.2">
      <c r="A292" s="248"/>
      <c r="B292" s="69" t="s">
        <v>430</v>
      </c>
      <c r="C292" s="71"/>
      <c r="D292" s="143">
        <f>D290/D291</f>
        <v>0.12174852539512404</v>
      </c>
      <c r="E292" s="61"/>
    </row>
    <row r="293" spans="1:8" x14ac:dyDescent="0.2">
      <c r="A293" s="248"/>
      <c r="B293" s="69" t="s">
        <v>431</v>
      </c>
      <c r="C293" s="71"/>
      <c r="D293" s="143">
        <v>0.1</v>
      </c>
      <c r="E293" s="61"/>
      <c r="F293" s="63" t="s">
        <v>432</v>
      </c>
    </row>
    <row r="294" spans="1:8" x14ac:dyDescent="0.2">
      <c r="A294" s="248"/>
      <c r="B294" s="69"/>
      <c r="C294" s="71"/>
      <c r="D294" s="52"/>
      <c r="E294" s="61"/>
    </row>
    <row r="295" spans="1:8" x14ac:dyDescent="0.2">
      <c r="A295" s="248"/>
      <c r="B295" s="25" t="s">
        <v>383</v>
      </c>
      <c r="C295" s="71"/>
      <c r="D295" s="88"/>
      <c r="E295" s="66"/>
      <c r="G295" s="29"/>
      <c r="H295" s="45"/>
    </row>
    <row r="296" spans="1:8" x14ac:dyDescent="0.2">
      <c r="A296" s="248"/>
      <c r="B296" s="70" t="s">
        <v>135</v>
      </c>
      <c r="C296" s="53"/>
      <c r="D296" s="91">
        <v>0.95</v>
      </c>
      <c r="E296" s="66"/>
      <c r="F296" s="63" t="s">
        <v>136</v>
      </c>
    </row>
    <row r="297" spans="1:8" x14ac:dyDescent="0.2">
      <c r="A297" s="248"/>
      <c r="B297" s="70" t="s">
        <v>137</v>
      </c>
      <c r="C297" s="71"/>
      <c r="D297" s="92">
        <v>15</v>
      </c>
      <c r="E297" s="61" t="s">
        <v>138</v>
      </c>
      <c r="F297" s="63" t="s">
        <v>139</v>
      </c>
    </row>
    <row r="298" spans="1:8" x14ac:dyDescent="0.2">
      <c r="A298" s="248"/>
      <c r="B298" s="70" t="s">
        <v>140</v>
      </c>
      <c r="C298" s="71"/>
      <c r="D298" s="53">
        <v>2550</v>
      </c>
      <c r="E298" s="61" t="s">
        <v>141</v>
      </c>
    </row>
    <row r="299" spans="1:8" x14ac:dyDescent="0.2">
      <c r="A299" s="248"/>
      <c r="B299" s="70" t="s">
        <v>142</v>
      </c>
      <c r="C299" s="71"/>
      <c r="D299" s="53">
        <v>1.5</v>
      </c>
      <c r="E299" s="61"/>
      <c r="F299" s="63" t="s">
        <v>143</v>
      </c>
    </row>
    <row r="300" spans="1:8" ht="34.5" customHeight="1" x14ac:dyDescent="0.2">
      <c r="A300" s="248"/>
      <c r="B300" s="70" t="s">
        <v>732</v>
      </c>
      <c r="C300" s="71"/>
      <c r="D300" s="53">
        <v>0.7</v>
      </c>
      <c r="E300" s="61"/>
      <c r="F300" s="63" t="s">
        <v>136</v>
      </c>
    </row>
    <row r="301" spans="1:8" ht="30.75" customHeight="1" x14ac:dyDescent="0.2">
      <c r="A301" s="248"/>
      <c r="B301" s="70" t="s">
        <v>144</v>
      </c>
      <c r="C301" s="71"/>
      <c r="D301" s="52">
        <v>0.7</v>
      </c>
      <c r="E301" s="61"/>
    </row>
    <row r="302" spans="1:8" x14ac:dyDescent="0.2">
      <c r="A302" s="248"/>
      <c r="B302" s="70" t="s">
        <v>145</v>
      </c>
      <c r="C302" s="71"/>
      <c r="D302" s="53">
        <v>2</v>
      </c>
      <c r="E302" s="61" t="s">
        <v>95</v>
      </c>
    </row>
    <row r="303" spans="1:8" x14ac:dyDescent="0.2">
      <c r="A303" s="248"/>
      <c r="B303" s="70" t="s">
        <v>146</v>
      </c>
      <c r="C303" s="71" t="s">
        <v>147</v>
      </c>
      <c r="D303" s="52">
        <v>9.08</v>
      </c>
      <c r="E303" s="61" t="s">
        <v>95</v>
      </c>
      <c r="G303" s="144">
        <v>9.17</v>
      </c>
      <c r="H303" s="63" t="s">
        <v>143</v>
      </c>
    </row>
    <row r="304" spans="1:8" x14ac:dyDescent="0.2">
      <c r="A304" s="248"/>
      <c r="B304" s="70" t="s">
        <v>148</v>
      </c>
      <c r="C304" s="71" t="s">
        <v>149</v>
      </c>
      <c r="D304" s="52">
        <v>101.33</v>
      </c>
      <c r="E304" s="66" t="s">
        <v>150</v>
      </c>
    </row>
    <row r="305" spans="1:9" x14ac:dyDescent="0.2">
      <c r="A305" s="248"/>
      <c r="B305" s="70" t="s">
        <v>151</v>
      </c>
      <c r="C305" s="71"/>
      <c r="D305" s="52">
        <f>-9.81*28.97*D298/(8314*(273.15+D297))</f>
        <v>-0.30250254927715486</v>
      </c>
      <c r="E305" s="66"/>
    </row>
    <row r="306" spans="1:9" x14ac:dyDescent="0.2">
      <c r="A306" s="248"/>
      <c r="B306" s="70" t="s">
        <v>152</v>
      </c>
      <c r="C306" s="71"/>
      <c r="D306" s="52">
        <f>D304*EXP(D305)</f>
        <v>74.879486026472406</v>
      </c>
      <c r="E306" s="66" t="s">
        <v>150</v>
      </c>
    </row>
    <row r="307" spans="1:9" x14ac:dyDescent="0.2">
      <c r="A307" s="248"/>
      <c r="B307" s="70"/>
      <c r="C307" s="71"/>
      <c r="D307" s="52">
        <f>D306*3.37*2.54</f>
        <v>640.95342448939846</v>
      </c>
      <c r="E307" s="66" t="s">
        <v>153</v>
      </c>
    </row>
    <row r="308" spans="1:9" ht="25.5" x14ac:dyDescent="0.2">
      <c r="A308" s="248"/>
      <c r="B308" s="70" t="s">
        <v>154</v>
      </c>
      <c r="C308" s="71" t="s">
        <v>155</v>
      </c>
      <c r="D308" s="52">
        <f>D311*(D306+D304*0.5*'[3]Estruc 5Lps'!C25/10)/D306</f>
        <v>9.1704021711446959</v>
      </c>
      <c r="E308" s="66"/>
    </row>
    <row r="309" spans="1:9" x14ac:dyDescent="0.2">
      <c r="A309" s="248"/>
      <c r="B309" s="70" t="s">
        <v>156</v>
      </c>
      <c r="C309" s="71"/>
      <c r="D309" s="52">
        <v>1.7</v>
      </c>
      <c r="E309" s="66" t="s">
        <v>150</v>
      </c>
      <c r="G309" s="63" t="s">
        <v>157</v>
      </c>
      <c r="H309" s="63" t="s">
        <v>158</v>
      </c>
      <c r="I309" s="63" t="s">
        <v>159</v>
      </c>
    </row>
    <row r="310" spans="1:9" x14ac:dyDescent="0.2">
      <c r="A310" s="248"/>
      <c r="B310" s="70" t="s">
        <v>160</v>
      </c>
      <c r="C310" s="71" t="s">
        <v>161</v>
      </c>
      <c r="D310" s="52">
        <v>10.15</v>
      </c>
      <c r="E310" s="61" t="s">
        <v>95</v>
      </c>
    </row>
    <row r="311" spans="1:9" x14ac:dyDescent="0.2">
      <c r="A311" s="248"/>
      <c r="B311" s="70" t="s">
        <v>162</v>
      </c>
      <c r="C311" s="71" t="s">
        <v>161</v>
      </c>
      <c r="D311" s="52">
        <f>D310*(D306-D309)/(D304-D309)</f>
        <v>7.4553024507547425</v>
      </c>
      <c r="E311" s="61" t="s">
        <v>95</v>
      </c>
      <c r="F311" s="145">
        <v>8.1999999999999993</v>
      </c>
      <c r="G311" s="63" t="s">
        <v>163</v>
      </c>
      <c r="H311" s="63" t="s">
        <v>164</v>
      </c>
    </row>
    <row r="312" spans="1:9" x14ac:dyDescent="0.2">
      <c r="A312" s="248"/>
      <c r="B312" s="70" t="s">
        <v>165</v>
      </c>
      <c r="D312" s="53">
        <v>13</v>
      </c>
      <c r="E312" s="61" t="s">
        <v>166</v>
      </c>
    </row>
    <row r="313" spans="1:9" x14ac:dyDescent="0.2">
      <c r="A313" s="248"/>
      <c r="B313" s="70" t="s">
        <v>110</v>
      </c>
      <c r="C313" s="53"/>
      <c r="D313" s="95">
        <f>D299*((D296*D308-D302)*(1.024^(D297-20))*D300/D303)</f>
        <v>0.68936302243840031</v>
      </c>
      <c r="E313" s="61"/>
      <c r="F313" s="63" t="s">
        <v>167</v>
      </c>
      <c r="H313" s="63">
        <v>0.54700000000000004</v>
      </c>
    </row>
  </sheetData>
  <pageMargins left="0.70866141732283472" right="0.70866141732283472" top="0.74803149606299213" bottom="0.74803149606299213" header="0.31496062992125984" footer="0.31496062992125984"/>
  <pageSetup scale="75" orientation="portrait" horizontalDpi="0" verticalDpi="0" r:id="rId1"/>
  <headerFooter>
    <oddFooter>&amp;C&amp;P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G62"/>
  <sheetViews>
    <sheetView topLeftCell="A13" workbookViewId="0">
      <selection activeCell="A41" sqref="A41"/>
    </sheetView>
  </sheetViews>
  <sheetFormatPr baseColWidth="10" defaultRowHeight="15" x14ac:dyDescent="0.25"/>
  <cols>
    <col min="1" max="1" width="14.7109375" customWidth="1"/>
    <col min="2" max="2" width="11.5703125" bestFit="1" customWidth="1"/>
    <col min="3" max="3" width="15.7109375" customWidth="1"/>
    <col min="5" max="5" width="17.42578125" customWidth="1"/>
    <col min="6" max="6" width="17.7109375" customWidth="1"/>
  </cols>
  <sheetData>
    <row r="2" spans="1:7" x14ac:dyDescent="0.25">
      <c r="E2" t="s">
        <v>344</v>
      </c>
      <c r="F2">
        <v>2.5</v>
      </c>
      <c r="G2" t="s">
        <v>85</v>
      </c>
    </row>
    <row r="3" spans="1:7" ht="45" x14ac:dyDescent="0.25">
      <c r="E3" s="42" t="s">
        <v>345</v>
      </c>
      <c r="F3" s="42">
        <v>8.8999999999999995E-4</v>
      </c>
      <c r="G3" s="19" t="s">
        <v>346</v>
      </c>
    </row>
    <row r="4" spans="1:7" ht="29.25" customHeight="1" x14ac:dyDescent="0.25">
      <c r="A4" s="10" t="s">
        <v>710</v>
      </c>
      <c r="B4" s="10" t="s">
        <v>349</v>
      </c>
      <c r="E4" s="10" t="s">
        <v>347</v>
      </c>
      <c r="F4" s="10" t="s">
        <v>348</v>
      </c>
      <c r="G4" s="10" t="s">
        <v>349</v>
      </c>
    </row>
    <row r="5" spans="1:7" x14ac:dyDescent="0.25">
      <c r="A5" s="10" t="s">
        <v>131</v>
      </c>
      <c r="B5" s="10" t="s">
        <v>350</v>
      </c>
      <c r="E5" s="10" t="s">
        <v>253</v>
      </c>
      <c r="F5" s="10" t="s">
        <v>131</v>
      </c>
      <c r="G5" s="10" t="s">
        <v>350</v>
      </c>
    </row>
    <row r="6" spans="1:7" x14ac:dyDescent="0.25">
      <c r="A6" s="8">
        <f t="shared" ref="A6:A15" si="0">(9.8*(E6/1000)/1.8)^0.5</f>
        <v>3.2998316455372219E-2</v>
      </c>
      <c r="B6" s="43">
        <f t="shared" ref="B6:B15" si="1">$F$2/A6</f>
        <v>75.761440841415805</v>
      </c>
      <c r="E6" s="10">
        <v>0.2</v>
      </c>
      <c r="F6" s="8">
        <f t="shared" ref="F6:F15" si="2">((0.001*E6)^2/(18*$F$3))*9.8*1000</f>
        <v>2.4469413233458179E-2</v>
      </c>
      <c r="G6" s="43">
        <f t="shared" ref="G6:G15" si="3">$F$2/F6</f>
        <v>102.16836734693877</v>
      </c>
    </row>
    <row r="7" spans="1:7" x14ac:dyDescent="0.25">
      <c r="A7" s="8">
        <f t="shared" si="0"/>
        <v>4.0414518843273801E-2</v>
      </c>
      <c r="B7" s="43">
        <f t="shared" si="1"/>
        <v>61.858957413174195</v>
      </c>
      <c r="E7" s="10">
        <v>0.3</v>
      </c>
      <c r="F7" s="8">
        <f t="shared" si="2"/>
        <v>5.5056179775280899E-2</v>
      </c>
      <c r="G7" s="43">
        <f t="shared" si="3"/>
        <v>45.408163265306122</v>
      </c>
    </row>
    <row r="8" spans="1:7" x14ac:dyDescent="0.25">
      <c r="A8" s="8">
        <f t="shared" si="0"/>
        <v>4.6666666666666669E-2</v>
      </c>
      <c r="B8" s="43">
        <f t="shared" si="1"/>
        <v>53.571428571428569</v>
      </c>
      <c r="E8" s="10">
        <v>0.4</v>
      </c>
      <c r="F8" s="8">
        <f t="shared" si="2"/>
        <v>9.7877652933832715E-2</v>
      </c>
      <c r="G8" s="43">
        <f t="shared" si="3"/>
        <v>25.542091836734691</v>
      </c>
    </row>
    <row r="9" spans="1:7" x14ac:dyDescent="0.25">
      <c r="A9" s="8">
        <f t="shared" si="0"/>
        <v>5.2174919474995099E-2</v>
      </c>
      <c r="B9" s="43">
        <f t="shared" si="1"/>
        <v>47.915742374995489</v>
      </c>
      <c r="E9" s="10">
        <v>0.5</v>
      </c>
      <c r="F9" s="8">
        <f t="shared" si="2"/>
        <v>0.15293383270911362</v>
      </c>
      <c r="G9" s="43">
        <f t="shared" si="3"/>
        <v>16.346938775510203</v>
      </c>
    </row>
    <row r="10" spans="1:7" x14ac:dyDescent="0.25">
      <c r="A10" s="8">
        <f t="shared" si="0"/>
        <v>6.1734197258173786E-2</v>
      </c>
      <c r="B10" s="43">
        <f t="shared" si="1"/>
        <v>40.496193536702911</v>
      </c>
      <c r="E10" s="10">
        <v>0.7</v>
      </c>
      <c r="F10" s="8">
        <f t="shared" si="2"/>
        <v>0.29975031210986269</v>
      </c>
      <c r="G10" s="8">
        <f t="shared" si="3"/>
        <v>8.3402748854643889</v>
      </c>
    </row>
    <row r="11" spans="1:7" x14ac:dyDescent="0.25">
      <c r="A11" s="8">
        <f t="shared" si="0"/>
        <v>7.3786478737262184E-2</v>
      </c>
      <c r="B11" s="43">
        <f t="shared" si="1"/>
        <v>33.88154635894692</v>
      </c>
      <c r="E11" s="10">
        <v>1</v>
      </c>
      <c r="F11" s="8">
        <f t="shared" si="2"/>
        <v>0.61173533083645448</v>
      </c>
      <c r="G11" s="8">
        <f t="shared" si="3"/>
        <v>4.0867346938775508</v>
      </c>
    </row>
    <row r="12" spans="1:7" x14ac:dyDescent="0.25">
      <c r="A12" s="8">
        <f t="shared" si="0"/>
        <v>9.0369611411506401E-2</v>
      </c>
      <c r="B12" s="43">
        <f t="shared" si="1"/>
        <v>27.664166758624404</v>
      </c>
      <c r="E12" s="10">
        <v>1.5</v>
      </c>
      <c r="F12" s="8">
        <f t="shared" si="2"/>
        <v>1.3764044943820226</v>
      </c>
      <c r="G12" s="8">
        <f t="shared" si="3"/>
        <v>1.8163265306122447</v>
      </c>
    </row>
    <row r="13" spans="1:7" x14ac:dyDescent="0.25">
      <c r="A13" s="8">
        <f t="shared" si="0"/>
        <v>0.1043498389499902</v>
      </c>
      <c r="B13" s="43">
        <f t="shared" si="1"/>
        <v>23.957871187497744</v>
      </c>
      <c r="E13" s="10">
        <v>2</v>
      </c>
      <c r="F13" s="8">
        <f t="shared" si="2"/>
        <v>2.4469413233458179</v>
      </c>
      <c r="G13" s="8">
        <f t="shared" si="3"/>
        <v>1.0216836734693877</v>
      </c>
    </row>
    <row r="14" spans="1:7" x14ac:dyDescent="0.25">
      <c r="A14" s="8">
        <f t="shared" si="0"/>
        <v>0.11666666666666667</v>
      </c>
      <c r="B14" s="43">
        <f t="shared" si="1"/>
        <v>21.428571428571427</v>
      </c>
      <c r="E14" s="10">
        <v>2.5</v>
      </c>
      <c r="F14" s="8">
        <f t="shared" si="2"/>
        <v>3.8233458177278408</v>
      </c>
      <c r="G14" s="8">
        <f t="shared" si="3"/>
        <v>0.65387755102040812</v>
      </c>
    </row>
    <row r="15" spans="1:7" x14ac:dyDescent="0.25">
      <c r="A15" s="8">
        <f t="shared" si="0"/>
        <v>0.12780193008453877</v>
      </c>
      <c r="B15" s="43">
        <f t="shared" si="1"/>
        <v>19.561519910898788</v>
      </c>
      <c r="E15" s="10">
        <v>3</v>
      </c>
      <c r="F15" s="8">
        <f t="shared" si="2"/>
        <v>5.5056179775280905</v>
      </c>
      <c r="G15" s="8">
        <f t="shared" si="3"/>
        <v>0.45408163265306117</v>
      </c>
    </row>
    <row r="16" spans="1:7" ht="30" x14ac:dyDescent="0.25">
      <c r="F16" s="44" t="s">
        <v>351</v>
      </c>
    </row>
    <row r="17" spans="1:1" x14ac:dyDescent="0.25">
      <c r="A17" s="1"/>
    </row>
    <row r="18" spans="1:1" x14ac:dyDescent="0.25">
      <c r="A18" t="s">
        <v>711</v>
      </c>
    </row>
    <row r="62" spans="2:3" x14ac:dyDescent="0.25">
      <c r="B62" s="167" t="s">
        <v>892</v>
      </c>
      <c r="C62" t="s">
        <v>893</v>
      </c>
    </row>
  </sheetData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5"/>
  <sheetViews>
    <sheetView topLeftCell="A16" workbookViewId="0">
      <selection activeCell="C12" sqref="C12"/>
    </sheetView>
  </sheetViews>
  <sheetFormatPr baseColWidth="10" defaultRowHeight="15" x14ac:dyDescent="0.25"/>
  <sheetData>
    <row r="1" spans="1:4" ht="25.5" x14ac:dyDescent="0.25">
      <c r="A1" s="47" t="s">
        <v>435</v>
      </c>
      <c r="B1" s="47" t="s">
        <v>436</v>
      </c>
      <c r="C1" s="47" t="s">
        <v>438</v>
      </c>
      <c r="D1" s="47" t="s">
        <v>437</v>
      </c>
    </row>
    <row r="2" spans="1:4" x14ac:dyDescent="0.25">
      <c r="A2" s="48" t="s">
        <v>439</v>
      </c>
      <c r="B2" s="48" t="s">
        <v>440</v>
      </c>
      <c r="C2" s="49"/>
      <c r="D2" s="48">
        <v>89</v>
      </c>
    </row>
    <row r="3" spans="1:4" x14ac:dyDescent="0.25">
      <c r="A3" s="48" t="s">
        <v>441</v>
      </c>
      <c r="B3" s="48" t="s">
        <v>442</v>
      </c>
      <c r="C3" s="48">
        <v>26.981539999999999</v>
      </c>
      <c r="D3" s="48">
        <v>13</v>
      </c>
    </row>
    <row r="4" spans="1:4" x14ac:dyDescent="0.25">
      <c r="A4" s="48" t="s">
        <v>443</v>
      </c>
      <c r="B4" s="48" t="s">
        <v>444</v>
      </c>
      <c r="C4" s="49"/>
      <c r="D4" s="48">
        <v>95</v>
      </c>
    </row>
    <row r="5" spans="1:4" x14ac:dyDescent="0.25">
      <c r="A5" s="48" t="s">
        <v>445</v>
      </c>
      <c r="B5" s="48" t="s">
        <v>446</v>
      </c>
      <c r="C5" s="48">
        <v>121.75</v>
      </c>
      <c r="D5" s="48">
        <v>51</v>
      </c>
    </row>
    <row r="6" spans="1:4" x14ac:dyDescent="0.25">
      <c r="A6" s="48" t="s">
        <v>447</v>
      </c>
      <c r="B6" s="48" t="s">
        <v>448</v>
      </c>
      <c r="C6" s="48">
        <v>39.948</v>
      </c>
      <c r="D6" s="48">
        <v>18</v>
      </c>
    </row>
    <row r="7" spans="1:4" x14ac:dyDescent="0.25">
      <c r="A7" s="48" t="s">
        <v>449</v>
      </c>
      <c r="B7" s="48" t="s">
        <v>450</v>
      </c>
      <c r="C7" s="48">
        <v>74.921599999999998</v>
      </c>
      <c r="D7" s="48">
        <v>33</v>
      </c>
    </row>
    <row r="8" spans="1:4" x14ac:dyDescent="0.25">
      <c r="A8" s="48" t="s">
        <v>451</v>
      </c>
      <c r="B8" s="48" t="s">
        <v>452</v>
      </c>
      <c r="C8" s="49"/>
      <c r="D8" s="48">
        <v>85</v>
      </c>
    </row>
    <row r="9" spans="1:4" x14ac:dyDescent="0.25">
      <c r="A9" s="48" t="s">
        <v>453</v>
      </c>
      <c r="B9" s="48" t="s">
        <v>454</v>
      </c>
      <c r="C9" s="48">
        <v>32.06</v>
      </c>
      <c r="D9" s="48">
        <v>16</v>
      </c>
    </row>
    <row r="10" spans="1:4" x14ac:dyDescent="0.25">
      <c r="A10" s="48" t="s">
        <v>455</v>
      </c>
      <c r="B10" s="48" t="s">
        <v>456</v>
      </c>
      <c r="C10" s="48">
        <v>137.34</v>
      </c>
      <c r="D10" s="48">
        <v>56</v>
      </c>
    </row>
    <row r="11" spans="1:4" x14ac:dyDescent="0.25">
      <c r="A11" s="48" t="s">
        <v>457</v>
      </c>
      <c r="B11" s="48" t="s">
        <v>458</v>
      </c>
      <c r="C11" s="48">
        <v>9.0121800000000007</v>
      </c>
      <c r="D11" s="48">
        <v>4</v>
      </c>
    </row>
    <row r="12" spans="1:4" x14ac:dyDescent="0.25">
      <c r="A12" s="48" t="s">
        <v>459</v>
      </c>
      <c r="B12" s="48" t="s">
        <v>460</v>
      </c>
      <c r="C12" s="49"/>
      <c r="D12" s="48">
        <v>97</v>
      </c>
    </row>
    <row r="13" spans="1:4" x14ac:dyDescent="0.25">
      <c r="A13" s="48" t="s">
        <v>461</v>
      </c>
      <c r="B13" s="48" t="s">
        <v>462</v>
      </c>
      <c r="C13" s="48">
        <v>208.9804</v>
      </c>
      <c r="D13" s="48">
        <v>83</v>
      </c>
    </row>
    <row r="14" spans="1:4" x14ac:dyDescent="0.25">
      <c r="A14" s="48" t="s">
        <v>463</v>
      </c>
      <c r="B14" s="48" t="s">
        <v>464</v>
      </c>
      <c r="C14" s="48">
        <v>10.81</v>
      </c>
      <c r="D14" s="48">
        <v>5</v>
      </c>
    </row>
    <row r="15" spans="1:4" x14ac:dyDescent="0.25">
      <c r="A15" s="48" t="s">
        <v>465</v>
      </c>
      <c r="B15" s="48" t="s">
        <v>466</v>
      </c>
      <c r="C15" s="48">
        <v>79.903999999999996</v>
      </c>
      <c r="D15" s="48">
        <v>35</v>
      </c>
    </row>
    <row r="16" spans="1:4" x14ac:dyDescent="0.25">
      <c r="A16" s="48" t="s">
        <v>467</v>
      </c>
      <c r="B16" s="48" t="s">
        <v>468</v>
      </c>
      <c r="C16" s="48">
        <v>112.4</v>
      </c>
      <c r="D16" s="48">
        <v>48</v>
      </c>
    </row>
    <row r="17" spans="1:4" x14ac:dyDescent="0.25">
      <c r="A17" s="48" t="s">
        <v>469</v>
      </c>
      <c r="B17" s="48" t="s">
        <v>470</v>
      </c>
      <c r="C17" s="48">
        <v>40.08</v>
      </c>
      <c r="D17" s="48">
        <v>20</v>
      </c>
    </row>
    <row r="18" spans="1:4" x14ac:dyDescent="0.25">
      <c r="A18" s="48" t="s">
        <v>471</v>
      </c>
      <c r="B18" s="48" t="s">
        <v>472</v>
      </c>
      <c r="C18" s="49"/>
      <c r="D18" s="48">
        <v>98</v>
      </c>
    </row>
    <row r="19" spans="1:4" x14ac:dyDescent="0.25">
      <c r="A19" s="48" t="s">
        <v>473</v>
      </c>
      <c r="B19" s="48" t="s">
        <v>474</v>
      </c>
      <c r="C19" s="48">
        <v>12.010999999999999</v>
      </c>
      <c r="D19" s="48">
        <v>6</v>
      </c>
    </row>
    <row r="20" spans="1:4" ht="19.5" x14ac:dyDescent="0.25">
      <c r="A20" s="48" t="s">
        <v>473</v>
      </c>
      <c r="B20" s="50" t="s">
        <v>475</v>
      </c>
      <c r="C20" s="48" t="s">
        <v>476</v>
      </c>
      <c r="D20" s="48">
        <v>6</v>
      </c>
    </row>
    <row r="21" spans="1:4" x14ac:dyDescent="0.25">
      <c r="A21" s="48" t="s">
        <v>477</v>
      </c>
      <c r="B21" s="48" t="s">
        <v>478</v>
      </c>
      <c r="C21" s="48">
        <v>140.12</v>
      </c>
      <c r="D21" s="48">
        <v>58</v>
      </c>
    </row>
    <row r="22" spans="1:4" x14ac:dyDescent="0.25">
      <c r="A22" s="48" t="s">
        <v>479</v>
      </c>
      <c r="B22" s="48" t="s">
        <v>260</v>
      </c>
      <c r="C22" s="48">
        <v>132.90539999999999</v>
      </c>
      <c r="D22" s="48">
        <v>55</v>
      </c>
    </row>
    <row r="23" spans="1:4" x14ac:dyDescent="0.25">
      <c r="A23" s="48" t="s">
        <v>480</v>
      </c>
      <c r="B23" s="48" t="s">
        <v>481</v>
      </c>
      <c r="C23" s="48">
        <v>35.453000000000003</v>
      </c>
      <c r="D23" s="48">
        <v>17</v>
      </c>
    </row>
    <row r="24" spans="1:4" x14ac:dyDescent="0.25">
      <c r="A24" s="48" t="s">
        <v>482</v>
      </c>
      <c r="B24" s="48" t="s">
        <v>483</v>
      </c>
      <c r="C24" s="48">
        <v>58.933199999999999</v>
      </c>
      <c r="D24" s="48">
        <v>27</v>
      </c>
    </row>
    <row r="25" spans="1:4" x14ac:dyDescent="0.25">
      <c r="A25" s="48" t="s">
        <v>484</v>
      </c>
      <c r="B25" s="48" t="s">
        <v>485</v>
      </c>
      <c r="C25" s="48">
        <v>63.545999999999999</v>
      </c>
      <c r="D25" s="48">
        <v>29</v>
      </c>
    </row>
    <row r="26" spans="1:4" x14ac:dyDescent="0.25">
      <c r="A26" s="48" t="s">
        <v>486</v>
      </c>
      <c r="B26" s="48" t="s">
        <v>487</v>
      </c>
      <c r="C26" s="48">
        <v>51.996000000000002</v>
      </c>
      <c r="D26" s="48">
        <v>24</v>
      </c>
    </row>
    <row r="27" spans="1:4" x14ac:dyDescent="0.25">
      <c r="A27" s="48" t="s">
        <v>488</v>
      </c>
      <c r="B27" s="48" t="s">
        <v>489</v>
      </c>
      <c r="C27" s="49"/>
      <c r="D27" s="48">
        <v>96</v>
      </c>
    </row>
    <row r="28" spans="1:4" x14ac:dyDescent="0.25">
      <c r="A28" s="48" t="s">
        <v>490</v>
      </c>
      <c r="B28" s="48" t="s">
        <v>491</v>
      </c>
      <c r="C28" s="48">
        <v>162.5</v>
      </c>
      <c r="D28" s="48">
        <v>66</v>
      </c>
    </row>
    <row r="29" spans="1:4" x14ac:dyDescent="0.25">
      <c r="A29" s="48" t="s">
        <v>492</v>
      </c>
      <c r="B29" s="48" t="s">
        <v>493</v>
      </c>
      <c r="C29" s="49"/>
      <c r="D29" s="48">
        <v>99</v>
      </c>
    </row>
    <row r="30" spans="1:4" x14ac:dyDescent="0.25">
      <c r="A30" s="48" t="s">
        <v>494</v>
      </c>
      <c r="B30" s="48" t="s">
        <v>495</v>
      </c>
      <c r="C30" s="48">
        <v>167.26</v>
      </c>
      <c r="D30" s="48">
        <v>68</v>
      </c>
    </row>
    <row r="31" spans="1:4" x14ac:dyDescent="0.25">
      <c r="A31" s="48" t="s">
        <v>496</v>
      </c>
      <c r="B31" s="48" t="s">
        <v>497</v>
      </c>
      <c r="C31" s="48">
        <v>44.9559</v>
      </c>
      <c r="D31" s="48">
        <v>21</v>
      </c>
    </row>
    <row r="32" spans="1:4" x14ac:dyDescent="0.25">
      <c r="A32" s="48" t="s">
        <v>498</v>
      </c>
      <c r="B32" s="48" t="s">
        <v>499</v>
      </c>
      <c r="C32" s="48">
        <v>118.69</v>
      </c>
      <c r="D32" s="48">
        <v>50</v>
      </c>
    </row>
    <row r="33" spans="1:4" x14ac:dyDescent="0.25">
      <c r="A33" s="48" t="s">
        <v>500</v>
      </c>
      <c r="B33" s="48" t="s">
        <v>501</v>
      </c>
      <c r="C33" s="48">
        <v>87.62</v>
      </c>
      <c r="D33" s="48">
        <v>38</v>
      </c>
    </row>
    <row r="34" spans="1:4" x14ac:dyDescent="0.25">
      <c r="A34" s="48" t="s">
        <v>502</v>
      </c>
      <c r="B34" s="48" t="s">
        <v>503</v>
      </c>
      <c r="C34" s="48">
        <v>151.96</v>
      </c>
      <c r="D34" s="48">
        <v>63</v>
      </c>
    </row>
    <row r="35" spans="1:4" x14ac:dyDescent="0.25">
      <c r="A35" s="48" t="s">
        <v>504</v>
      </c>
      <c r="B35" s="48" t="s">
        <v>505</v>
      </c>
      <c r="C35" s="49"/>
      <c r="D35" s="48">
        <v>100</v>
      </c>
    </row>
    <row r="36" spans="1:4" x14ac:dyDescent="0.25">
      <c r="A36" s="48" t="s">
        <v>506</v>
      </c>
      <c r="B36" s="48" t="s">
        <v>507</v>
      </c>
      <c r="C36" s="48">
        <v>55.847000000000001</v>
      </c>
      <c r="D36" s="48">
        <v>26</v>
      </c>
    </row>
    <row r="37" spans="1:4" x14ac:dyDescent="0.25">
      <c r="A37" s="48" t="s">
        <v>508</v>
      </c>
      <c r="B37" s="48" t="s">
        <v>509</v>
      </c>
      <c r="C37" s="48">
        <v>18.9984</v>
      </c>
      <c r="D37" s="48">
        <v>9</v>
      </c>
    </row>
    <row r="38" spans="1:4" x14ac:dyDescent="0.25">
      <c r="A38" s="48" t="s">
        <v>510</v>
      </c>
      <c r="B38" s="48" t="s">
        <v>149</v>
      </c>
      <c r="C38" s="48">
        <v>30.973759999999999</v>
      </c>
      <c r="D38" s="48">
        <v>15</v>
      </c>
    </row>
    <row r="39" spans="1:4" x14ac:dyDescent="0.25">
      <c r="A39" s="48" t="s">
        <v>511</v>
      </c>
      <c r="B39" s="48" t="s">
        <v>512</v>
      </c>
      <c r="C39" s="49"/>
      <c r="D39" s="48">
        <v>87</v>
      </c>
    </row>
    <row r="40" spans="1:4" x14ac:dyDescent="0.25">
      <c r="A40" s="48" t="s">
        <v>513</v>
      </c>
      <c r="B40" s="48" t="s">
        <v>514</v>
      </c>
      <c r="C40" s="48">
        <v>157.25</v>
      </c>
      <c r="D40" s="48">
        <v>64</v>
      </c>
    </row>
    <row r="41" spans="1:4" x14ac:dyDescent="0.25">
      <c r="A41" s="48" t="s">
        <v>515</v>
      </c>
      <c r="B41" s="48" t="s">
        <v>516</v>
      </c>
      <c r="C41" s="48">
        <v>69.72</v>
      </c>
      <c r="D41" s="48">
        <v>31</v>
      </c>
    </row>
    <row r="42" spans="1:4" x14ac:dyDescent="0.25">
      <c r="A42" s="48" t="s">
        <v>517</v>
      </c>
      <c r="B42" s="48" t="s">
        <v>518</v>
      </c>
      <c r="C42" s="48">
        <v>72.59</v>
      </c>
      <c r="D42" s="48">
        <v>32</v>
      </c>
    </row>
    <row r="43" spans="1:4" x14ac:dyDescent="0.25">
      <c r="A43" s="48" t="s">
        <v>519</v>
      </c>
      <c r="B43" s="48" t="s">
        <v>520</v>
      </c>
      <c r="C43" s="48">
        <v>178.49</v>
      </c>
      <c r="D43" s="48">
        <v>72</v>
      </c>
    </row>
    <row r="44" spans="1:4" x14ac:dyDescent="0.25">
      <c r="A44" s="48" t="s">
        <v>521</v>
      </c>
      <c r="B44" s="48" t="s">
        <v>522</v>
      </c>
      <c r="C44" s="48">
        <v>4.0026000000000002</v>
      </c>
      <c r="D44" s="48">
        <v>2</v>
      </c>
    </row>
    <row r="45" spans="1:4" x14ac:dyDescent="0.25">
      <c r="A45" s="48" t="s">
        <v>523</v>
      </c>
      <c r="B45" s="48" t="s">
        <v>524</v>
      </c>
      <c r="C45" s="48">
        <v>1.0079</v>
      </c>
      <c r="D45" s="48">
        <v>1</v>
      </c>
    </row>
    <row r="46" spans="1:4" x14ac:dyDescent="0.25">
      <c r="A46" s="48" t="s">
        <v>525</v>
      </c>
      <c r="B46" s="48" t="s">
        <v>526</v>
      </c>
      <c r="C46" s="48">
        <v>164.93039999999999</v>
      </c>
      <c r="D46" s="48">
        <v>67</v>
      </c>
    </row>
    <row r="47" spans="1:4" x14ac:dyDescent="0.25">
      <c r="A47" s="48" t="s">
        <v>527</v>
      </c>
      <c r="B47" s="48" t="s">
        <v>528</v>
      </c>
      <c r="C47" s="48">
        <v>114.82</v>
      </c>
      <c r="D47" s="48">
        <v>49</v>
      </c>
    </row>
    <row r="48" spans="1:4" x14ac:dyDescent="0.25">
      <c r="A48" s="48" t="s">
        <v>529</v>
      </c>
      <c r="B48" s="48" t="s">
        <v>530</v>
      </c>
      <c r="C48" s="48">
        <v>192.22</v>
      </c>
      <c r="D48" s="48">
        <v>77</v>
      </c>
    </row>
    <row r="49" spans="1:4" x14ac:dyDescent="0.25">
      <c r="A49" s="48" t="s">
        <v>531</v>
      </c>
      <c r="B49" s="48" t="s">
        <v>532</v>
      </c>
      <c r="C49" s="48">
        <v>173.04</v>
      </c>
      <c r="D49" s="48">
        <v>70</v>
      </c>
    </row>
    <row r="50" spans="1:4" x14ac:dyDescent="0.25">
      <c r="A50" s="48" t="s">
        <v>533</v>
      </c>
      <c r="B50" s="48" t="s">
        <v>381</v>
      </c>
      <c r="C50" s="48">
        <v>88.905900000000003</v>
      </c>
      <c r="D50" s="48">
        <v>39</v>
      </c>
    </row>
    <row r="51" spans="1:4" x14ac:dyDescent="0.25">
      <c r="A51" s="48" t="s">
        <v>534</v>
      </c>
      <c r="B51" s="48" t="s">
        <v>535</v>
      </c>
      <c r="C51" s="48">
        <v>83.8</v>
      </c>
      <c r="D51" s="48">
        <v>36</v>
      </c>
    </row>
    <row r="52" spans="1:4" x14ac:dyDescent="0.25">
      <c r="A52" s="48" t="s">
        <v>536</v>
      </c>
      <c r="B52" s="48" t="s">
        <v>537</v>
      </c>
      <c r="C52" s="48">
        <v>138.90549999999999</v>
      </c>
      <c r="D52" s="48">
        <v>57</v>
      </c>
    </row>
    <row r="53" spans="1:4" x14ac:dyDescent="0.25">
      <c r="A53" s="48" t="s">
        <v>538</v>
      </c>
      <c r="B53" s="48" t="s">
        <v>539</v>
      </c>
      <c r="C53" s="49"/>
      <c r="D53" s="48">
        <v>103</v>
      </c>
    </row>
    <row r="54" spans="1:4" x14ac:dyDescent="0.25">
      <c r="A54" s="48" t="s">
        <v>540</v>
      </c>
      <c r="B54" s="48" t="s">
        <v>541</v>
      </c>
      <c r="C54" s="48">
        <v>6.9409999999999998</v>
      </c>
      <c r="D54" s="48">
        <v>3</v>
      </c>
    </row>
    <row r="55" spans="1:4" x14ac:dyDescent="0.25">
      <c r="A55" s="48" t="s">
        <v>542</v>
      </c>
      <c r="B55" s="48" t="s">
        <v>543</v>
      </c>
      <c r="C55" s="48">
        <v>174.97</v>
      </c>
      <c r="D55" s="48">
        <v>71</v>
      </c>
    </row>
    <row r="56" spans="1:4" x14ac:dyDescent="0.25">
      <c r="A56" s="48" t="s">
        <v>544</v>
      </c>
      <c r="B56" s="48" t="s">
        <v>545</v>
      </c>
      <c r="C56" s="48">
        <v>24.305</v>
      </c>
      <c r="D56" s="48">
        <v>12</v>
      </c>
    </row>
    <row r="57" spans="1:4" x14ac:dyDescent="0.25">
      <c r="A57" s="48" t="s">
        <v>546</v>
      </c>
      <c r="B57" s="48" t="s">
        <v>547</v>
      </c>
      <c r="C57" s="48">
        <v>54.938000000000002</v>
      </c>
      <c r="D57" s="48">
        <v>25</v>
      </c>
    </row>
    <row r="58" spans="1:4" x14ac:dyDescent="0.25">
      <c r="A58" s="48" t="s">
        <v>548</v>
      </c>
      <c r="B58" s="48" t="s">
        <v>549</v>
      </c>
      <c r="C58" s="49"/>
      <c r="D58" s="48">
        <v>101</v>
      </c>
    </row>
    <row r="59" spans="1:4" x14ac:dyDescent="0.25">
      <c r="A59" s="48" t="s">
        <v>550</v>
      </c>
      <c r="B59" s="48" t="s">
        <v>551</v>
      </c>
      <c r="C59" s="48">
        <v>200.59</v>
      </c>
      <c r="D59" s="48">
        <v>80</v>
      </c>
    </row>
    <row r="60" spans="1:4" x14ac:dyDescent="0.25">
      <c r="A60" s="48" t="s">
        <v>552</v>
      </c>
      <c r="B60" s="48" t="s">
        <v>553</v>
      </c>
      <c r="C60" s="48">
        <v>95.94</v>
      </c>
      <c r="D60" s="48">
        <v>42</v>
      </c>
    </row>
    <row r="61" spans="1:4" x14ac:dyDescent="0.25">
      <c r="A61" s="48" t="s">
        <v>554</v>
      </c>
      <c r="B61" s="48" t="s">
        <v>555</v>
      </c>
      <c r="C61" s="48">
        <v>144.24</v>
      </c>
      <c r="D61" s="48">
        <v>60</v>
      </c>
    </row>
    <row r="62" spans="1:4" x14ac:dyDescent="0.25">
      <c r="A62" s="48" t="s">
        <v>556</v>
      </c>
      <c r="B62" s="48" t="s">
        <v>557</v>
      </c>
      <c r="C62" s="48">
        <v>20.178999999999998</v>
      </c>
      <c r="D62" s="48">
        <v>10</v>
      </c>
    </row>
    <row r="63" spans="1:4" x14ac:dyDescent="0.25">
      <c r="A63" s="48" t="s">
        <v>558</v>
      </c>
      <c r="B63" s="48" t="s">
        <v>559</v>
      </c>
      <c r="C63" s="48">
        <v>237.04820000000001</v>
      </c>
      <c r="D63" s="48">
        <v>93</v>
      </c>
    </row>
    <row r="64" spans="1:4" x14ac:dyDescent="0.25">
      <c r="A64" s="48" t="s">
        <v>560</v>
      </c>
      <c r="B64" s="48" t="s">
        <v>561</v>
      </c>
      <c r="C64" s="48">
        <v>92.906400000000005</v>
      </c>
      <c r="D64" s="48">
        <v>41</v>
      </c>
    </row>
    <row r="65" spans="1:4" x14ac:dyDescent="0.25">
      <c r="A65" s="48" t="s">
        <v>562</v>
      </c>
      <c r="B65" s="48" t="s">
        <v>563</v>
      </c>
      <c r="C65" s="48">
        <v>58.71</v>
      </c>
      <c r="D65" s="48">
        <v>28</v>
      </c>
    </row>
    <row r="66" spans="1:4" x14ac:dyDescent="0.25">
      <c r="A66" s="48" t="s">
        <v>564</v>
      </c>
      <c r="B66" s="48" t="s">
        <v>565</v>
      </c>
      <c r="C66" s="48">
        <v>14.0067</v>
      </c>
      <c r="D66" s="48">
        <v>7</v>
      </c>
    </row>
    <row r="67" spans="1:4" x14ac:dyDescent="0.25">
      <c r="A67" s="48" t="s">
        <v>566</v>
      </c>
      <c r="B67" s="48" t="s">
        <v>567</v>
      </c>
      <c r="C67" s="49"/>
      <c r="D67" s="48">
        <v>102</v>
      </c>
    </row>
    <row r="68" spans="1:4" x14ac:dyDescent="0.25">
      <c r="A68" s="48" t="s">
        <v>568</v>
      </c>
      <c r="B68" s="48" t="s">
        <v>569</v>
      </c>
      <c r="C68" s="48">
        <v>196.9665</v>
      </c>
      <c r="D68" s="48">
        <v>79</v>
      </c>
    </row>
    <row r="69" spans="1:4" x14ac:dyDescent="0.25">
      <c r="A69" s="48" t="s">
        <v>570</v>
      </c>
      <c r="B69" s="48" t="s">
        <v>571</v>
      </c>
      <c r="C69" s="48">
        <v>190.2</v>
      </c>
      <c r="D69" s="48">
        <v>72</v>
      </c>
    </row>
    <row r="70" spans="1:4" x14ac:dyDescent="0.25">
      <c r="A70" s="48" t="s">
        <v>572</v>
      </c>
      <c r="B70" s="48" t="s">
        <v>573</v>
      </c>
      <c r="C70" s="48">
        <v>15.9994</v>
      </c>
      <c r="D70" s="48">
        <v>8</v>
      </c>
    </row>
    <row r="71" spans="1:4" x14ac:dyDescent="0.25">
      <c r="A71" s="48" t="s">
        <v>574</v>
      </c>
      <c r="B71" s="48" t="s">
        <v>575</v>
      </c>
      <c r="C71" s="48">
        <v>106.4</v>
      </c>
      <c r="D71" s="48">
        <v>46</v>
      </c>
    </row>
    <row r="72" spans="1:4" x14ac:dyDescent="0.25">
      <c r="A72" s="48" t="s">
        <v>576</v>
      </c>
      <c r="B72" s="48" t="s">
        <v>577</v>
      </c>
      <c r="C72" s="48">
        <v>107.86799999999999</v>
      </c>
      <c r="D72" s="48">
        <v>47</v>
      </c>
    </row>
    <row r="73" spans="1:4" x14ac:dyDescent="0.25">
      <c r="A73" s="48" t="s">
        <v>578</v>
      </c>
      <c r="B73" s="48" t="s">
        <v>579</v>
      </c>
      <c r="C73" s="48">
        <v>195.09</v>
      </c>
      <c r="D73" s="48">
        <v>78</v>
      </c>
    </row>
    <row r="74" spans="1:4" x14ac:dyDescent="0.25">
      <c r="A74" s="48" t="s">
        <v>580</v>
      </c>
      <c r="B74" s="48" t="s">
        <v>581</v>
      </c>
      <c r="C74" s="48">
        <v>207.2</v>
      </c>
      <c r="D74" s="48">
        <v>82</v>
      </c>
    </row>
    <row r="75" spans="1:4" x14ac:dyDescent="0.25">
      <c r="A75" s="48" t="s">
        <v>582</v>
      </c>
      <c r="B75" s="48" t="s">
        <v>583</v>
      </c>
      <c r="C75" s="49"/>
      <c r="D75" s="48">
        <v>94</v>
      </c>
    </row>
    <row r="76" spans="1:4" x14ac:dyDescent="0.25">
      <c r="A76" s="48" t="s">
        <v>584</v>
      </c>
      <c r="B76" s="48" t="s">
        <v>585</v>
      </c>
      <c r="C76" s="49"/>
      <c r="D76" s="48">
        <v>84</v>
      </c>
    </row>
    <row r="77" spans="1:4" x14ac:dyDescent="0.25">
      <c r="A77" s="48" t="s">
        <v>586</v>
      </c>
      <c r="B77" s="48" t="s">
        <v>587</v>
      </c>
      <c r="C77" s="48">
        <v>39.097999999999999</v>
      </c>
      <c r="D77" s="48">
        <v>19</v>
      </c>
    </row>
    <row r="78" spans="1:4" x14ac:dyDescent="0.25">
      <c r="A78" s="48" t="s">
        <v>588</v>
      </c>
      <c r="B78" s="48" t="s">
        <v>589</v>
      </c>
      <c r="C78" s="48">
        <v>140.90770000000001</v>
      </c>
      <c r="D78" s="48">
        <v>59</v>
      </c>
    </row>
    <row r="79" spans="1:4" x14ac:dyDescent="0.25">
      <c r="A79" s="48" t="s">
        <v>590</v>
      </c>
      <c r="B79" s="48" t="s">
        <v>591</v>
      </c>
      <c r="C79" s="49"/>
      <c r="D79" s="48">
        <v>61</v>
      </c>
    </row>
    <row r="80" spans="1:4" x14ac:dyDescent="0.25">
      <c r="A80" s="48" t="s">
        <v>592</v>
      </c>
      <c r="B80" s="48" t="s">
        <v>593</v>
      </c>
      <c r="C80" s="48">
        <v>231.0359</v>
      </c>
      <c r="D80" s="48">
        <v>91</v>
      </c>
    </row>
    <row r="81" spans="1:4" x14ac:dyDescent="0.25">
      <c r="A81" s="48" t="s">
        <v>594</v>
      </c>
      <c r="B81" s="48" t="s">
        <v>595</v>
      </c>
      <c r="C81" s="48">
        <v>226.02539999999999</v>
      </c>
      <c r="D81" s="48">
        <v>88</v>
      </c>
    </row>
    <row r="82" spans="1:4" x14ac:dyDescent="0.25">
      <c r="A82" s="48" t="s">
        <v>596</v>
      </c>
      <c r="B82" s="48" t="s">
        <v>597</v>
      </c>
      <c r="C82" s="49"/>
      <c r="D82" s="48">
        <v>86</v>
      </c>
    </row>
    <row r="83" spans="1:4" x14ac:dyDescent="0.25">
      <c r="A83" s="48" t="s">
        <v>598</v>
      </c>
      <c r="B83" s="48" t="s">
        <v>599</v>
      </c>
      <c r="C83" s="48">
        <v>186.2</v>
      </c>
      <c r="D83" s="48">
        <v>75</v>
      </c>
    </row>
    <row r="84" spans="1:4" x14ac:dyDescent="0.25">
      <c r="A84" s="48" t="s">
        <v>600</v>
      </c>
      <c r="B84" s="48" t="s">
        <v>601</v>
      </c>
      <c r="C84" s="48">
        <v>102.9055</v>
      </c>
      <c r="D84" s="48">
        <v>45</v>
      </c>
    </row>
    <row r="85" spans="1:4" x14ac:dyDescent="0.25">
      <c r="A85" s="48" t="s">
        <v>602</v>
      </c>
      <c r="B85" s="48" t="s">
        <v>603</v>
      </c>
      <c r="C85" s="48">
        <v>85.467799999999997</v>
      </c>
      <c r="D85" s="48">
        <v>37</v>
      </c>
    </row>
    <row r="86" spans="1:4" x14ac:dyDescent="0.25">
      <c r="A86" s="48" t="s">
        <v>604</v>
      </c>
      <c r="B86" s="48" t="s">
        <v>605</v>
      </c>
      <c r="C86" s="48">
        <v>101.07</v>
      </c>
      <c r="D86" s="48">
        <v>44</v>
      </c>
    </row>
    <row r="87" spans="1:4" x14ac:dyDescent="0.25">
      <c r="A87" s="48" t="s">
        <v>606</v>
      </c>
      <c r="B87" s="48" t="s">
        <v>607</v>
      </c>
      <c r="C87" s="48">
        <v>150.4</v>
      </c>
      <c r="D87" s="48">
        <v>62</v>
      </c>
    </row>
    <row r="88" spans="1:4" x14ac:dyDescent="0.25">
      <c r="A88" s="48" t="s">
        <v>608</v>
      </c>
      <c r="B88" s="48" t="s">
        <v>609</v>
      </c>
      <c r="C88" s="48">
        <v>78.959999999999994</v>
      </c>
      <c r="D88" s="48">
        <v>34</v>
      </c>
    </row>
    <row r="89" spans="1:4" x14ac:dyDescent="0.25">
      <c r="A89" s="48" t="s">
        <v>610</v>
      </c>
      <c r="B89" s="48" t="s">
        <v>611</v>
      </c>
      <c r="C89" s="48">
        <v>28.085999999999999</v>
      </c>
      <c r="D89" s="48">
        <v>14</v>
      </c>
    </row>
    <row r="90" spans="1:4" x14ac:dyDescent="0.25">
      <c r="A90" s="48" t="s">
        <v>612</v>
      </c>
      <c r="B90" s="48" t="s">
        <v>613</v>
      </c>
      <c r="C90" s="48">
        <v>22.98977</v>
      </c>
      <c r="D90" s="48">
        <v>11</v>
      </c>
    </row>
    <row r="91" spans="1:4" x14ac:dyDescent="0.25">
      <c r="A91" s="48" t="s">
        <v>614</v>
      </c>
      <c r="B91" s="48" t="s">
        <v>615</v>
      </c>
      <c r="C91" s="48">
        <v>204.37</v>
      </c>
      <c r="D91" s="48">
        <v>81</v>
      </c>
    </row>
    <row r="92" spans="1:4" x14ac:dyDescent="0.25">
      <c r="A92" s="48" t="s">
        <v>616</v>
      </c>
      <c r="B92" s="48" t="s">
        <v>617</v>
      </c>
      <c r="C92" s="48">
        <v>180.9479</v>
      </c>
      <c r="D92" s="48">
        <v>73</v>
      </c>
    </row>
    <row r="93" spans="1:4" x14ac:dyDescent="0.25">
      <c r="A93" s="48" t="s">
        <v>618</v>
      </c>
      <c r="B93" s="48" t="s">
        <v>619</v>
      </c>
      <c r="C93" s="48">
        <v>98.906199999999998</v>
      </c>
      <c r="D93" s="48">
        <v>43</v>
      </c>
    </row>
    <row r="94" spans="1:4" x14ac:dyDescent="0.25">
      <c r="A94" s="48" t="s">
        <v>620</v>
      </c>
      <c r="B94" s="48" t="s">
        <v>621</v>
      </c>
      <c r="C94" s="48">
        <v>127.6</v>
      </c>
      <c r="D94" s="48">
        <v>52</v>
      </c>
    </row>
    <row r="95" spans="1:4" x14ac:dyDescent="0.25">
      <c r="A95" s="48" t="s">
        <v>622</v>
      </c>
      <c r="B95" s="48" t="s">
        <v>623</v>
      </c>
      <c r="C95" s="48">
        <v>158.9254</v>
      </c>
      <c r="D95" s="48">
        <v>65</v>
      </c>
    </row>
    <row r="96" spans="1:4" x14ac:dyDescent="0.25">
      <c r="A96" s="48" t="s">
        <v>624</v>
      </c>
      <c r="B96" s="48" t="s">
        <v>625</v>
      </c>
      <c r="C96" s="48">
        <v>47.9</v>
      </c>
      <c r="D96" s="48">
        <v>22</v>
      </c>
    </row>
    <row r="97" spans="1:4" x14ac:dyDescent="0.25">
      <c r="A97" s="48" t="s">
        <v>626</v>
      </c>
      <c r="B97" s="48" t="s">
        <v>627</v>
      </c>
      <c r="C97" s="48">
        <v>232.03809999999999</v>
      </c>
      <c r="D97" s="48">
        <v>90</v>
      </c>
    </row>
    <row r="98" spans="1:4" x14ac:dyDescent="0.25">
      <c r="A98" s="48" t="s">
        <v>628</v>
      </c>
      <c r="B98" s="48" t="s">
        <v>629</v>
      </c>
      <c r="C98" s="48">
        <v>168.9342</v>
      </c>
      <c r="D98" s="48">
        <v>69</v>
      </c>
    </row>
    <row r="99" spans="1:4" x14ac:dyDescent="0.25">
      <c r="A99" s="48" t="s">
        <v>630</v>
      </c>
      <c r="B99" s="48" t="s">
        <v>631</v>
      </c>
      <c r="C99" s="48">
        <v>183.85</v>
      </c>
      <c r="D99" s="48">
        <v>74</v>
      </c>
    </row>
    <row r="100" spans="1:4" x14ac:dyDescent="0.25">
      <c r="A100" s="48" t="s">
        <v>632</v>
      </c>
      <c r="B100" s="48" t="s">
        <v>633</v>
      </c>
      <c r="C100" s="48">
        <v>238.029</v>
      </c>
      <c r="D100" s="48">
        <v>92</v>
      </c>
    </row>
    <row r="101" spans="1:4" x14ac:dyDescent="0.25">
      <c r="A101" s="48" t="s">
        <v>634</v>
      </c>
      <c r="B101" s="48" t="s">
        <v>79</v>
      </c>
      <c r="C101" s="48">
        <v>50.941400000000002</v>
      </c>
      <c r="D101" s="48">
        <v>23</v>
      </c>
    </row>
    <row r="102" spans="1:4" x14ac:dyDescent="0.25">
      <c r="A102" s="48" t="s">
        <v>635</v>
      </c>
      <c r="B102" s="48" t="s">
        <v>636</v>
      </c>
      <c r="C102" s="48">
        <v>131.30000000000001</v>
      </c>
      <c r="D102" s="48">
        <v>54</v>
      </c>
    </row>
    <row r="103" spans="1:4" x14ac:dyDescent="0.25">
      <c r="A103" s="48" t="s">
        <v>637</v>
      </c>
      <c r="B103" s="48" t="s">
        <v>638</v>
      </c>
      <c r="C103" s="48">
        <v>126.9045</v>
      </c>
      <c r="D103" s="48">
        <v>53</v>
      </c>
    </row>
    <row r="104" spans="1:4" x14ac:dyDescent="0.25">
      <c r="A104" s="48" t="s">
        <v>639</v>
      </c>
      <c r="B104" s="48" t="s">
        <v>640</v>
      </c>
      <c r="C104" s="48">
        <v>65.38</v>
      </c>
      <c r="D104" s="48">
        <v>30</v>
      </c>
    </row>
    <row r="105" spans="1:4" x14ac:dyDescent="0.25">
      <c r="A105" s="48" t="s">
        <v>641</v>
      </c>
      <c r="B105" s="48" t="s">
        <v>642</v>
      </c>
      <c r="C105" s="48">
        <v>91.22</v>
      </c>
      <c r="D105" s="48">
        <v>40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AE0238-4455-4075-A221-73214547CB59}">
  <dimension ref="A1:N152"/>
  <sheetViews>
    <sheetView showGridLines="0" tabSelected="1" topLeftCell="C12" zoomScale="75" zoomScaleNormal="75" workbookViewId="0">
      <selection activeCell="L35" sqref="L35"/>
    </sheetView>
  </sheetViews>
  <sheetFormatPr baseColWidth="10" defaultRowHeight="14.25" x14ac:dyDescent="0.2"/>
  <cols>
    <col min="1" max="1" width="23.5703125" style="167" customWidth="1"/>
    <col min="2" max="2" width="43.5703125" style="218" customWidth="1"/>
    <col min="3" max="3" width="61.85546875" style="167" customWidth="1"/>
    <col min="4" max="4" width="30.140625" style="168" customWidth="1"/>
    <col min="5" max="5" width="11" style="220" customWidth="1"/>
    <col min="6" max="6" width="15.5703125" style="167" customWidth="1"/>
    <col min="7" max="7" width="12.7109375" style="167" customWidth="1"/>
    <col min="8" max="8" width="13" style="167" customWidth="1"/>
    <col min="9" max="9" width="16.7109375" style="167" customWidth="1"/>
    <col min="10" max="10" width="17.7109375" style="167" customWidth="1"/>
    <col min="11" max="11" width="17.140625" style="167" customWidth="1"/>
    <col min="12" max="12" width="16.140625" style="167" customWidth="1"/>
    <col min="13" max="13" width="19.42578125" style="167" customWidth="1"/>
    <col min="14" max="258" width="11.42578125" style="167"/>
    <col min="259" max="259" width="7.28515625" style="167" customWidth="1"/>
    <col min="260" max="260" width="37.7109375" style="167" customWidth="1"/>
    <col min="261" max="261" width="17.85546875" style="167" customWidth="1"/>
    <col min="262" max="262" width="12.28515625" style="167" bestFit="1" customWidth="1"/>
    <col min="263" max="263" width="11.42578125" style="167"/>
    <col min="264" max="264" width="24.140625" style="167" customWidth="1"/>
    <col min="265" max="266" width="11.42578125" style="167"/>
    <col min="267" max="267" width="17.140625" style="167" customWidth="1"/>
    <col min="268" max="268" width="11.42578125" style="167"/>
    <col min="269" max="269" width="30.28515625" style="167" customWidth="1"/>
    <col min="270" max="514" width="11.42578125" style="167"/>
    <col min="515" max="515" width="7.28515625" style="167" customWidth="1"/>
    <col min="516" max="516" width="37.7109375" style="167" customWidth="1"/>
    <col min="517" max="517" width="17.85546875" style="167" customWidth="1"/>
    <col min="518" max="518" width="12.28515625" style="167" bestFit="1" customWidth="1"/>
    <col min="519" max="519" width="11.42578125" style="167"/>
    <col min="520" max="520" width="24.140625" style="167" customWidth="1"/>
    <col min="521" max="522" width="11.42578125" style="167"/>
    <col min="523" max="523" width="17.140625" style="167" customWidth="1"/>
    <col min="524" max="524" width="11.42578125" style="167"/>
    <col min="525" max="525" width="30.28515625" style="167" customWidth="1"/>
    <col min="526" max="770" width="11.42578125" style="167"/>
    <col min="771" max="771" width="7.28515625" style="167" customWidth="1"/>
    <col min="772" max="772" width="37.7109375" style="167" customWidth="1"/>
    <col min="773" max="773" width="17.85546875" style="167" customWidth="1"/>
    <col min="774" max="774" width="12.28515625" style="167" bestFit="1" customWidth="1"/>
    <col min="775" max="775" width="11.42578125" style="167"/>
    <col min="776" max="776" width="24.140625" style="167" customWidth="1"/>
    <col min="777" max="778" width="11.42578125" style="167"/>
    <col min="779" max="779" width="17.140625" style="167" customWidth="1"/>
    <col min="780" max="780" width="11.42578125" style="167"/>
    <col min="781" max="781" width="30.28515625" style="167" customWidth="1"/>
    <col min="782" max="1026" width="11.42578125" style="167"/>
    <col min="1027" max="1027" width="7.28515625" style="167" customWidth="1"/>
    <col min="1028" max="1028" width="37.7109375" style="167" customWidth="1"/>
    <col min="1029" max="1029" width="17.85546875" style="167" customWidth="1"/>
    <col min="1030" max="1030" width="12.28515625" style="167" bestFit="1" customWidth="1"/>
    <col min="1031" max="1031" width="11.42578125" style="167"/>
    <col min="1032" max="1032" width="24.140625" style="167" customWidth="1"/>
    <col min="1033" max="1034" width="11.42578125" style="167"/>
    <col min="1035" max="1035" width="17.140625" style="167" customWidth="1"/>
    <col min="1036" max="1036" width="11.42578125" style="167"/>
    <col min="1037" max="1037" width="30.28515625" style="167" customWidth="1"/>
    <col min="1038" max="1282" width="11.42578125" style="167"/>
    <col min="1283" max="1283" width="7.28515625" style="167" customWidth="1"/>
    <col min="1284" max="1284" width="37.7109375" style="167" customWidth="1"/>
    <col min="1285" max="1285" width="17.85546875" style="167" customWidth="1"/>
    <col min="1286" max="1286" width="12.28515625" style="167" bestFit="1" customWidth="1"/>
    <col min="1287" max="1287" width="11.42578125" style="167"/>
    <col min="1288" max="1288" width="24.140625" style="167" customWidth="1"/>
    <col min="1289" max="1290" width="11.42578125" style="167"/>
    <col min="1291" max="1291" width="17.140625" style="167" customWidth="1"/>
    <col min="1292" max="1292" width="11.42578125" style="167"/>
    <col min="1293" max="1293" width="30.28515625" style="167" customWidth="1"/>
    <col min="1294" max="1538" width="11.42578125" style="167"/>
    <col min="1539" max="1539" width="7.28515625" style="167" customWidth="1"/>
    <col min="1540" max="1540" width="37.7109375" style="167" customWidth="1"/>
    <col min="1541" max="1541" width="17.85546875" style="167" customWidth="1"/>
    <col min="1542" max="1542" width="12.28515625" style="167" bestFit="1" customWidth="1"/>
    <col min="1543" max="1543" width="11.42578125" style="167"/>
    <col min="1544" max="1544" width="24.140625" style="167" customWidth="1"/>
    <col min="1545" max="1546" width="11.42578125" style="167"/>
    <col min="1547" max="1547" width="17.140625" style="167" customWidth="1"/>
    <col min="1548" max="1548" width="11.42578125" style="167"/>
    <col min="1549" max="1549" width="30.28515625" style="167" customWidth="1"/>
    <col min="1550" max="1794" width="11.42578125" style="167"/>
    <col min="1795" max="1795" width="7.28515625" style="167" customWidth="1"/>
    <col min="1796" max="1796" width="37.7109375" style="167" customWidth="1"/>
    <col min="1797" max="1797" width="17.85546875" style="167" customWidth="1"/>
    <col min="1798" max="1798" width="12.28515625" style="167" bestFit="1" customWidth="1"/>
    <col min="1799" max="1799" width="11.42578125" style="167"/>
    <col min="1800" max="1800" width="24.140625" style="167" customWidth="1"/>
    <col min="1801" max="1802" width="11.42578125" style="167"/>
    <col min="1803" max="1803" width="17.140625" style="167" customWidth="1"/>
    <col min="1804" max="1804" width="11.42578125" style="167"/>
    <col min="1805" max="1805" width="30.28515625" style="167" customWidth="1"/>
    <col min="1806" max="2050" width="11.42578125" style="167"/>
    <col min="2051" max="2051" width="7.28515625" style="167" customWidth="1"/>
    <col min="2052" max="2052" width="37.7109375" style="167" customWidth="1"/>
    <col min="2053" max="2053" width="17.85546875" style="167" customWidth="1"/>
    <col min="2054" max="2054" width="12.28515625" style="167" bestFit="1" customWidth="1"/>
    <col min="2055" max="2055" width="11.42578125" style="167"/>
    <col min="2056" max="2056" width="24.140625" style="167" customWidth="1"/>
    <col min="2057" max="2058" width="11.42578125" style="167"/>
    <col min="2059" max="2059" width="17.140625" style="167" customWidth="1"/>
    <col min="2060" max="2060" width="11.42578125" style="167"/>
    <col min="2061" max="2061" width="30.28515625" style="167" customWidth="1"/>
    <col min="2062" max="2306" width="11.42578125" style="167"/>
    <col min="2307" max="2307" width="7.28515625" style="167" customWidth="1"/>
    <col min="2308" max="2308" width="37.7109375" style="167" customWidth="1"/>
    <col min="2309" max="2309" width="17.85546875" style="167" customWidth="1"/>
    <col min="2310" max="2310" width="12.28515625" style="167" bestFit="1" customWidth="1"/>
    <col min="2311" max="2311" width="11.42578125" style="167"/>
    <col min="2312" max="2312" width="24.140625" style="167" customWidth="1"/>
    <col min="2313" max="2314" width="11.42578125" style="167"/>
    <col min="2315" max="2315" width="17.140625" style="167" customWidth="1"/>
    <col min="2316" max="2316" width="11.42578125" style="167"/>
    <col min="2317" max="2317" width="30.28515625" style="167" customWidth="1"/>
    <col min="2318" max="2562" width="11.42578125" style="167"/>
    <col min="2563" max="2563" width="7.28515625" style="167" customWidth="1"/>
    <col min="2564" max="2564" width="37.7109375" style="167" customWidth="1"/>
    <col min="2565" max="2565" width="17.85546875" style="167" customWidth="1"/>
    <col min="2566" max="2566" width="12.28515625" style="167" bestFit="1" customWidth="1"/>
    <col min="2567" max="2567" width="11.42578125" style="167"/>
    <col min="2568" max="2568" width="24.140625" style="167" customWidth="1"/>
    <col min="2569" max="2570" width="11.42578125" style="167"/>
    <col min="2571" max="2571" width="17.140625" style="167" customWidth="1"/>
    <col min="2572" max="2572" width="11.42578125" style="167"/>
    <col min="2573" max="2573" width="30.28515625" style="167" customWidth="1"/>
    <col min="2574" max="2818" width="11.42578125" style="167"/>
    <col min="2819" max="2819" width="7.28515625" style="167" customWidth="1"/>
    <col min="2820" max="2820" width="37.7109375" style="167" customWidth="1"/>
    <col min="2821" max="2821" width="17.85546875" style="167" customWidth="1"/>
    <col min="2822" max="2822" width="12.28515625" style="167" bestFit="1" customWidth="1"/>
    <col min="2823" max="2823" width="11.42578125" style="167"/>
    <col min="2824" max="2824" width="24.140625" style="167" customWidth="1"/>
    <col min="2825" max="2826" width="11.42578125" style="167"/>
    <col min="2827" max="2827" width="17.140625" style="167" customWidth="1"/>
    <col min="2828" max="2828" width="11.42578125" style="167"/>
    <col min="2829" max="2829" width="30.28515625" style="167" customWidth="1"/>
    <col min="2830" max="3074" width="11.42578125" style="167"/>
    <col min="3075" max="3075" width="7.28515625" style="167" customWidth="1"/>
    <col min="3076" max="3076" width="37.7109375" style="167" customWidth="1"/>
    <col min="3077" max="3077" width="17.85546875" style="167" customWidth="1"/>
    <col min="3078" max="3078" width="12.28515625" style="167" bestFit="1" customWidth="1"/>
    <col min="3079" max="3079" width="11.42578125" style="167"/>
    <col min="3080" max="3080" width="24.140625" style="167" customWidth="1"/>
    <col min="3081" max="3082" width="11.42578125" style="167"/>
    <col min="3083" max="3083" width="17.140625" style="167" customWidth="1"/>
    <col min="3084" max="3084" width="11.42578125" style="167"/>
    <col min="3085" max="3085" width="30.28515625" style="167" customWidth="1"/>
    <col min="3086" max="3330" width="11.42578125" style="167"/>
    <col min="3331" max="3331" width="7.28515625" style="167" customWidth="1"/>
    <col min="3332" max="3332" width="37.7109375" style="167" customWidth="1"/>
    <col min="3333" max="3333" width="17.85546875" style="167" customWidth="1"/>
    <col min="3334" max="3334" width="12.28515625" style="167" bestFit="1" customWidth="1"/>
    <col min="3335" max="3335" width="11.42578125" style="167"/>
    <col min="3336" max="3336" width="24.140625" style="167" customWidth="1"/>
    <col min="3337" max="3338" width="11.42578125" style="167"/>
    <col min="3339" max="3339" width="17.140625" style="167" customWidth="1"/>
    <col min="3340" max="3340" width="11.42578125" style="167"/>
    <col min="3341" max="3341" width="30.28515625" style="167" customWidth="1"/>
    <col min="3342" max="3586" width="11.42578125" style="167"/>
    <col min="3587" max="3587" width="7.28515625" style="167" customWidth="1"/>
    <col min="3588" max="3588" width="37.7109375" style="167" customWidth="1"/>
    <col min="3589" max="3589" width="17.85546875" style="167" customWidth="1"/>
    <col min="3590" max="3590" width="12.28515625" style="167" bestFit="1" customWidth="1"/>
    <col min="3591" max="3591" width="11.42578125" style="167"/>
    <col min="3592" max="3592" width="24.140625" style="167" customWidth="1"/>
    <col min="3593" max="3594" width="11.42578125" style="167"/>
    <col min="3595" max="3595" width="17.140625" style="167" customWidth="1"/>
    <col min="3596" max="3596" width="11.42578125" style="167"/>
    <col min="3597" max="3597" width="30.28515625" style="167" customWidth="1"/>
    <col min="3598" max="3842" width="11.42578125" style="167"/>
    <col min="3843" max="3843" width="7.28515625" style="167" customWidth="1"/>
    <col min="3844" max="3844" width="37.7109375" style="167" customWidth="1"/>
    <col min="3845" max="3845" width="17.85546875" style="167" customWidth="1"/>
    <col min="3846" max="3846" width="12.28515625" style="167" bestFit="1" customWidth="1"/>
    <col min="3847" max="3847" width="11.42578125" style="167"/>
    <col min="3848" max="3848" width="24.140625" style="167" customWidth="1"/>
    <col min="3849" max="3850" width="11.42578125" style="167"/>
    <col min="3851" max="3851" width="17.140625" style="167" customWidth="1"/>
    <col min="3852" max="3852" width="11.42578125" style="167"/>
    <col min="3853" max="3853" width="30.28515625" style="167" customWidth="1"/>
    <col min="3854" max="4098" width="11.42578125" style="167"/>
    <col min="4099" max="4099" width="7.28515625" style="167" customWidth="1"/>
    <col min="4100" max="4100" width="37.7109375" style="167" customWidth="1"/>
    <col min="4101" max="4101" width="17.85546875" style="167" customWidth="1"/>
    <col min="4102" max="4102" width="12.28515625" style="167" bestFit="1" customWidth="1"/>
    <col min="4103" max="4103" width="11.42578125" style="167"/>
    <col min="4104" max="4104" width="24.140625" style="167" customWidth="1"/>
    <col min="4105" max="4106" width="11.42578125" style="167"/>
    <col min="4107" max="4107" width="17.140625" style="167" customWidth="1"/>
    <col min="4108" max="4108" width="11.42578125" style="167"/>
    <col min="4109" max="4109" width="30.28515625" style="167" customWidth="1"/>
    <col min="4110" max="4354" width="11.42578125" style="167"/>
    <col min="4355" max="4355" width="7.28515625" style="167" customWidth="1"/>
    <col min="4356" max="4356" width="37.7109375" style="167" customWidth="1"/>
    <col min="4357" max="4357" width="17.85546875" style="167" customWidth="1"/>
    <col min="4358" max="4358" width="12.28515625" style="167" bestFit="1" customWidth="1"/>
    <col min="4359" max="4359" width="11.42578125" style="167"/>
    <col min="4360" max="4360" width="24.140625" style="167" customWidth="1"/>
    <col min="4361" max="4362" width="11.42578125" style="167"/>
    <col min="4363" max="4363" width="17.140625" style="167" customWidth="1"/>
    <col min="4364" max="4364" width="11.42578125" style="167"/>
    <col min="4365" max="4365" width="30.28515625" style="167" customWidth="1"/>
    <col min="4366" max="4610" width="11.42578125" style="167"/>
    <col min="4611" max="4611" width="7.28515625" style="167" customWidth="1"/>
    <col min="4612" max="4612" width="37.7109375" style="167" customWidth="1"/>
    <col min="4613" max="4613" width="17.85546875" style="167" customWidth="1"/>
    <col min="4614" max="4614" width="12.28515625" style="167" bestFit="1" customWidth="1"/>
    <col min="4615" max="4615" width="11.42578125" style="167"/>
    <col min="4616" max="4616" width="24.140625" style="167" customWidth="1"/>
    <col min="4617" max="4618" width="11.42578125" style="167"/>
    <col min="4619" max="4619" width="17.140625" style="167" customWidth="1"/>
    <col min="4620" max="4620" width="11.42578125" style="167"/>
    <col min="4621" max="4621" width="30.28515625" style="167" customWidth="1"/>
    <col min="4622" max="4866" width="11.42578125" style="167"/>
    <col min="4867" max="4867" width="7.28515625" style="167" customWidth="1"/>
    <col min="4868" max="4868" width="37.7109375" style="167" customWidth="1"/>
    <col min="4869" max="4869" width="17.85546875" style="167" customWidth="1"/>
    <col min="4870" max="4870" width="12.28515625" style="167" bestFit="1" customWidth="1"/>
    <col min="4871" max="4871" width="11.42578125" style="167"/>
    <col min="4872" max="4872" width="24.140625" style="167" customWidth="1"/>
    <col min="4873" max="4874" width="11.42578125" style="167"/>
    <col min="4875" max="4875" width="17.140625" style="167" customWidth="1"/>
    <col min="4876" max="4876" width="11.42578125" style="167"/>
    <col min="4877" max="4877" width="30.28515625" style="167" customWidth="1"/>
    <col min="4878" max="5122" width="11.42578125" style="167"/>
    <col min="5123" max="5123" width="7.28515625" style="167" customWidth="1"/>
    <col min="5124" max="5124" width="37.7109375" style="167" customWidth="1"/>
    <col min="5125" max="5125" width="17.85546875" style="167" customWidth="1"/>
    <col min="5126" max="5126" width="12.28515625" style="167" bestFit="1" customWidth="1"/>
    <col min="5127" max="5127" width="11.42578125" style="167"/>
    <col min="5128" max="5128" width="24.140625" style="167" customWidth="1"/>
    <col min="5129" max="5130" width="11.42578125" style="167"/>
    <col min="5131" max="5131" width="17.140625" style="167" customWidth="1"/>
    <col min="5132" max="5132" width="11.42578125" style="167"/>
    <col min="5133" max="5133" width="30.28515625" style="167" customWidth="1"/>
    <col min="5134" max="5378" width="11.42578125" style="167"/>
    <col min="5379" max="5379" width="7.28515625" style="167" customWidth="1"/>
    <col min="5380" max="5380" width="37.7109375" style="167" customWidth="1"/>
    <col min="5381" max="5381" width="17.85546875" style="167" customWidth="1"/>
    <col min="5382" max="5382" width="12.28515625" style="167" bestFit="1" customWidth="1"/>
    <col min="5383" max="5383" width="11.42578125" style="167"/>
    <col min="5384" max="5384" width="24.140625" style="167" customWidth="1"/>
    <col min="5385" max="5386" width="11.42578125" style="167"/>
    <col min="5387" max="5387" width="17.140625" style="167" customWidth="1"/>
    <col min="5388" max="5388" width="11.42578125" style="167"/>
    <col min="5389" max="5389" width="30.28515625" style="167" customWidth="1"/>
    <col min="5390" max="5634" width="11.42578125" style="167"/>
    <col min="5635" max="5635" width="7.28515625" style="167" customWidth="1"/>
    <col min="5636" max="5636" width="37.7109375" style="167" customWidth="1"/>
    <col min="5637" max="5637" width="17.85546875" style="167" customWidth="1"/>
    <col min="5638" max="5638" width="12.28515625" style="167" bestFit="1" customWidth="1"/>
    <col min="5639" max="5639" width="11.42578125" style="167"/>
    <col min="5640" max="5640" width="24.140625" style="167" customWidth="1"/>
    <col min="5641" max="5642" width="11.42578125" style="167"/>
    <col min="5643" max="5643" width="17.140625" style="167" customWidth="1"/>
    <col min="5644" max="5644" width="11.42578125" style="167"/>
    <col min="5645" max="5645" width="30.28515625" style="167" customWidth="1"/>
    <col min="5646" max="5890" width="11.42578125" style="167"/>
    <col min="5891" max="5891" width="7.28515625" style="167" customWidth="1"/>
    <col min="5892" max="5892" width="37.7109375" style="167" customWidth="1"/>
    <col min="5893" max="5893" width="17.85546875" style="167" customWidth="1"/>
    <col min="5894" max="5894" width="12.28515625" style="167" bestFit="1" customWidth="1"/>
    <col min="5895" max="5895" width="11.42578125" style="167"/>
    <col min="5896" max="5896" width="24.140625" style="167" customWidth="1"/>
    <col min="5897" max="5898" width="11.42578125" style="167"/>
    <col min="5899" max="5899" width="17.140625" style="167" customWidth="1"/>
    <col min="5900" max="5900" width="11.42578125" style="167"/>
    <col min="5901" max="5901" width="30.28515625" style="167" customWidth="1"/>
    <col min="5902" max="6146" width="11.42578125" style="167"/>
    <col min="6147" max="6147" width="7.28515625" style="167" customWidth="1"/>
    <col min="6148" max="6148" width="37.7109375" style="167" customWidth="1"/>
    <col min="6149" max="6149" width="17.85546875" style="167" customWidth="1"/>
    <col min="6150" max="6150" width="12.28515625" style="167" bestFit="1" customWidth="1"/>
    <col min="6151" max="6151" width="11.42578125" style="167"/>
    <col min="6152" max="6152" width="24.140625" style="167" customWidth="1"/>
    <col min="6153" max="6154" width="11.42578125" style="167"/>
    <col min="6155" max="6155" width="17.140625" style="167" customWidth="1"/>
    <col min="6156" max="6156" width="11.42578125" style="167"/>
    <col min="6157" max="6157" width="30.28515625" style="167" customWidth="1"/>
    <col min="6158" max="6402" width="11.42578125" style="167"/>
    <col min="6403" max="6403" width="7.28515625" style="167" customWidth="1"/>
    <col min="6404" max="6404" width="37.7109375" style="167" customWidth="1"/>
    <col min="6405" max="6405" width="17.85546875" style="167" customWidth="1"/>
    <col min="6406" max="6406" width="12.28515625" style="167" bestFit="1" customWidth="1"/>
    <col min="6407" max="6407" width="11.42578125" style="167"/>
    <col min="6408" max="6408" width="24.140625" style="167" customWidth="1"/>
    <col min="6409" max="6410" width="11.42578125" style="167"/>
    <col min="6411" max="6411" width="17.140625" style="167" customWidth="1"/>
    <col min="6412" max="6412" width="11.42578125" style="167"/>
    <col min="6413" max="6413" width="30.28515625" style="167" customWidth="1"/>
    <col min="6414" max="6658" width="11.42578125" style="167"/>
    <col min="6659" max="6659" width="7.28515625" style="167" customWidth="1"/>
    <col min="6660" max="6660" width="37.7109375" style="167" customWidth="1"/>
    <col min="6661" max="6661" width="17.85546875" style="167" customWidth="1"/>
    <col min="6662" max="6662" width="12.28515625" style="167" bestFit="1" customWidth="1"/>
    <col min="6663" max="6663" width="11.42578125" style="167"/>
    <col min="6664" max="6664" width="24.140625" style="167" customWidth="1"/>
    <col min="6665" max="6666" width="11.42578125" style="167"/>
    <col min="6667" max="6667" width="17.140625" style="167" customWidth="1"/>
    <col min="6668" max="6668" width="11.42578125" style="167"/>
    <col min="6669" max="6669" width="30.28515625" style="167" customWidth="1"/>
    <col min="6670" max="6914" width="11.42578125" style="167"/>
    <col min="6915" max="6915" width="7.28515625" style="167" customWidth="1"/>
    <col min="6916" max="6916" width="37.7109375" style="167" customWidth="1"/>
    <col min="6917" max="6917" width="17.85546875" style="167" customWidth="1"/>
    <col min="6918" max="6918" width="12.28515625" style="167" bestFit="1" customWidth="1"/>
    <col min="6919" max="6919" width="11.42578125" style="167"/>
    <col min="6920" max="6920" width="24.140625" style="167" customWidth="1"/>
    <col min="6921" max="6922" width="11.42578125" style="167"/>
    <col min="6923" max="6923" width="17.140625" style="167" customWidth="1"/>
    <col min="6924" max="6924" width="11.42578125" style="167"/>
    <col min="6925" max="6925" width="30.28515625" style="167" customWidth="1"/>
    <col min="6926" max="7170" width="11.42578125" style="167"/>
    <col min="7171" max="7171" width="7.28515625" style="167" customWidth="1"/>
    <col min="7172" max="7172" width="37.7109375" style="167" customWidth="1"/>
    <col min="7173" max="7173" width="17.85546875" style="167" customWidth="1"/>
    <col min="7174" max="7174" width="12.28515625" style="167" bestFit="1" customWidth="1"/>
    <col min="7175" max="7175" width="11.42578125" style="167"/>
    <col min="7176" max="7176" width="24.140625" style="167" customWidth="1"/>
    <col min="7177" max="7178" width="11.42578125" style="167"/>
    <col min="7179" max="7179" width="17.140625" style="167" customWidth="1"/>
    <col min="7180" max="7180" width="11.42578125" style="167"/>
    <col min="7181" max="7181" width="30.28515625" style="167" customWidth="1"/>
    <col min="7182" max="7426" width="11.42578125" style="167"/>
    <col min="7427" max="7427" width="7.28515625" style="167" customWidth="1"/>
    <col min="7428" max="7428" width="37.7109375" style="167" customWidth="1"/>
    <col min="7429" max="7429" width="17.85546875" style="167" customWidth="1"/>
    <col min="7430" max="7430" width="12.28515625" style="167" bestFit="1" customWidth="1"/>
    <col min="7431" max="7431" width="11.42578125" style="167"/>
    <col min="7432" max="7432" width="24.140625" style="167" customWidth="1"/>
    <col min="7433" max="7434" width="11.42578125" style="167"/>
    <col min="7435" max="7435" width="17.140625" style="167" customWidth="1"/>
    <col min="7436" max="7436" width="11.42578125" style="167"/>
    <col min="7437" max="7437" width="30.28515625" style="167" customWidth="1"/>
    <col min="7438" max="7682" width="11.42578125" style="167"/>
    <col min="7683" max="7683" width="7.28515625" style="167" customWidth="1"/>
    <col min="7684" max="7684" width="37.7109375" style="167" customWidth="1"/>
    <col min="7685" max="7685" width="17.85546875" style="167" customWidth="1"/>
    <col min="7686" max="7686" width="12.28515625" style="167" bestFit="1" customWidth="1"/>
    <col min="7687" max="7687" width="11.42578125" style="167"/>
    <col min="7688" max="7688" width="24.140625" style="167" customWidth="1"/>
    <col min="7689" max="7690" width="11.42578125" style="167"/>
    <col min="7691" max="7691" width="17.140625" style="167" customWidth="1"/>
    <col min="7692" max="7692" width="11.42578125" style="167"/>
    <col min="7693" max="7693" width="30.28515625" style="167" customWidth="1"/>
    <col min="7694" max="7938" width="11.42578125" style="167"/>
    <col min="7939" max="7939" width="7.28515625" style="167" customWidth="1"/>
    <col min="7940" max="7940" width="37.7109375" style="167" customWidth="1"/>
    <col min="7941" max="7941" width="17.85546875" style="167" customWidth="1"/>
    <col min="7942" max="7942" width="12.28515625" style="167" bestFit="1" customWidth="1"/>
    <col min="7943" max="7943" width="11.42578125" style="167"/>
    <col min="7944" max="7944" width="24.140625" style="167" customWidth="1"/>
    <col min="7945" max="7946" width="11.42578125" style="167"/>
    <col min="7947" max="7947" width="17.140625" style="167" customWidth="1"/>
    <col min="7948" max="7948" width="11.42578125" style="167"/>
    <col min="7949" max="7949" width="30.28515625" style="167" customWidth="1"/>
    <col min="7950" max="8194" width="11.42578125" style="167"/>
    <col min="8195" max="8195" width="7.28515625" style="167" customWidth="1"/>
    <col min="8196" max="8196" width="37.7109375" style="167" customWidth="1"/>
    <col min="8197" max="8197" width="17.85546875" style="167" customWidth="1"/>
    <col min="8198" max="8198" width="12.28515625" style="167" bestFit="1" customWidth="1"/>
    <col min="8199" max="8199" width="11.42578125" style="167"/>
    <col min="8200" max="8200" width="24.140625" style="167" customWidth="1"/>
    <col min="8201" max="8202" width="11.42578125" style="167"/>
    <col min="8203" max="8203" width="17.140625" style="167" customWidth="1"/>
    <col min="8204" max="8204" width="11.42578125" style="167"/>
    <col min="8205" max="8205" width="30.28515625" style="167" customWidth="1"/>
    <col min="8206" max="8450" width="11.42578125" style="167"/>
    <col min="8451" max="8451" width="7.28515625" style="167" customWidth="1"/>
    <col min="8452" max="8452" width="37.7109375" style="167" customWidth="1"/>
    <col min="8453" max="8453" width="17.85546875" style="167" customWidth="1"/>
    <col min="8454" max="8454" width="12.28515625" style="167" bestFit="1" customWidth="1"/>
    <col min="8455" max="8455" width="11.42578125" style="167"/>
    <col min="8456" max="8456" width="24.140625" style="167" customWidth="1"/>
    <col min="8457" max="8458" width="11.42578125" style="167"/>
    <col min="8459" max="8459" width="17.140625" style="167" customWidth="1"/>
    <col min="8460" max="8460" width="11.42578125" style="167"/>
    <col min="8461" max="8461" width="30.28515625" style="167" customWidth="1"/>
    <col min="8462" max="8706" width="11.42578125" style="167"/>
    <col min="8707" max="8707" width="7.28515625" style="167" customWidth="1"/>
    <col min="8708" max="8708" width="37.7109375" style="167" customWidth="1"/>
    <col min="8709" max="8709" width="17.85546875" style="167" customWidth="1"/>
    <col min="8710" max="8710" width="12.28515625" style="167" bestFit="1" customWidth="1"/>
    <col min="8711" max="8711" width="11.42578125" style="167"/>
    <col min="8712" max="8712" width="24.140625" style="167" customWidth="1"/>
    <col min="8713" max="8714" width="11.42578125" style="167"/>
    <col min="8715" max="8715" width="17.140625" style="167" customWidth="1"/>
    <col min="8716" max="8716" width="11.42578125" style="167"/>
    <col min="8717" max="8717" width="30.28515625" style="167" customWidth="1"/>
    <col min="8718" max="8962" width="11.42578125" style="167"/>
    <col min="8963" max="8963" width="7.28515625" style="167" customWidth="1"/>
    <col min="8964" max="8964" width="37.7109375" style="167" customWidth="1"/>
    <col min="8965" max="8965" width="17.85546875" style="167" customWidth="1"/>
    <col min="8966" max="8966" width="12.28515625" style="167" bestFit="1" customWidth="1"/>
    <col min="8967" max="8967" width="11.42578125" style="167"/>
    <col min="8968" max="8968" width="24.140625" style="167" customWidth="1"/>
    <col min="8969" max="8970" width="11.42578125" style="167"/>
    <col min="8971" max="8971" width="17.140625" style="167" customWidth="1"/>
    <col min="8972" max="8972" width="11.42578125" style="167"/>
    <col min="8973" max="8973" width="30.28515625" style="167" customWidth="1"/>
    <col min="8974" max="9218" width="11.42578125" style="167"/>
    <col min="9219" max="9219" width="7.28515625" style="167" customWidth="1"/>
    <col min="9220" max="9220" width="37.7109375" style="167" customWidth="1"/>
    <col min="9221" max="9221" width="17.85546875" style="167" customWidth="1"/>
    <col min="9222" max="9222" width="12.28515625" style="167" bestFit="1" customWidth="1"/>
    <col min="9223" max="9223" width="11.42578125" style="167"/>
    <col min="9224" max="9224" width="24.140625" style="167" customWidth="1"/>
    <col min="9225" max="9226" width="11.42578125" style="167"/>
    <col min="9227" max="9227" width="17.140625" style="167" customWidth="1"/>
    <col min="9228" max="9228" width="11.42578125" style="167"/>
    <col min="9229" max="9229" width="30.28515625" style="167" customWidth="1"/>
    <col min="9230" max="9474" width="11.42578125" style="167"/>
    <col min="9475" max="9475" width="7.28515625" style="167" customWidth="1"/>
    <col min="9476" max="9476" width="37.7109375" style="167" customWidth="1"/>
    <col min="9477" max="9477" width="17.85546875" style="167" customWidth="1"/>
    <col min="9478" max="9478" width="12.28515625" style="167" bestFit="1" customWidth="1"/>
    <col min="9479" max="9479" width="11.42578125" style="167"/>
    <col min="9480" max="9480" width="24.140625" style="167" customWidth="1"/>
    <col min="9481" max="9482" width="11.42578125" style="167"/>
    <col min="9483" max="9483" width="17.140625" style="167" customWidth="1"/>
    <col min="9484" max="9484" width="11.42578125" style="167"/>
    <col min="9485" max="9485" width="30.28515625" style="167" customWidth="1"/>
    <col min="9486" max="9730" width="11.42578125" style="167"/>
    <col min="9731" max="9731" width="7.28515625" style="167" customWidth="1"/>
    <col min="9732" max="9732" width="37.7109375" style="167" customWidth="1"/>
    <col min="9733" max="9733" width="17.85546875" style="167" customWidth="1"/>
    <col min="9734" max="9734" width="12.28515625" style="167" bestFit="1" customWidth="1"/>
    <col min="9735" max="9735" width="11.42578125" style="167"/>
    <col min="9736" max="9736" width="24.140625" style="167" customWidth="1"/>
    <col min="9737" max="9738" width="11.42578125" style="167"/>
    <col min="9739" max="9739" width="17.140625" style="167" customWidth="1"/>
    <col min="9740" max="9740" width="11.42578125" style="167"/>
    <col min="9741" max="9741" width="30.28515625" style="167" customWidth="1"/>
    <col min="9742" max="9986" width="11.42578125" style="167"/>
    <col min="9987" max="9987" width="7.28515625" style="167" customWidth="1"/>
    <col min="9988" max="9988" width="37.7109375" style="167" customWidth="1"/>
    <col min="9989" max="9989" width="17.85546875" style="167" customWidth="1"/>
    <col min="9990" max="9990" width="12.28515625" style="167" bestFit="1" customWidth="1"/>
    <col min="9991" max="9991" width="11.42578125" style="167"/>
    <col min="9992" max="9992" width="24.140625" style="167" customWidth="1"/>
    <col min="9993" max="9994" width="11.42578125" style="167"/>
    <col min="9995" max="9995" width="17.140625" style="167" customWidth="1"/>
    <col min="9996" max="9996" width="11.42578125" style="167"/>
    <col min="9997" max="9997" width="30.28515625" style="167" customWidth="1"/>
    <col min="9998" max="10242" width="11.42578125" style="167"/>
    <col min="10243" max="10243" width="7.28515625" style="167" customWidth="1"/>
    <col min="10244" max="10244" width="37.7109375" style="167" customWidth="1"/>
    <col min="10245" max="10245" width="17.85546875" style="167" customWidth="1"/>
    <col min="10246" max="10246" width="12.28515625" style="167" bestFit="1" customWidth="1"/>
    <col min="10247" max="10247" width="11.42578125" style="167"/>
    <col min="10248" max="10248" width="24.140625" style="167" customWidth="1"/>
    <col min="10249" max="10250" width="11.42578125" style="167"/>
    <col min="10251" max="10251" width="17.140625" style="167" customWidth="1"/>
    <col min="10252" max="10252" width="11.42578125" style="167"/>
    <col min="10253" max="10253" width="30.28515625" style="167" customWidth="1"/>
    <col min="10254" max="10498" width="11.42578125" style="167"/>
    <col min="10499" max="10499" width="7.28515625" style="167" customWidth="1"/>
    <col min="10500" max="10500" width="37.7109375" style="167" customWidth="1"/>
    <col min="10501" max="10501" width="17.85546875" style="167" customWidth="1"/>
    <col min="10502" max="10502" width="12.28515625" style="167" bestFit="1" customWidth="1"/>
    <col min="10503" max="10503" width="11.42578125" style="167"/>
    <col min="10504" max="10504" width="24.140625" style="167" customWidth="1"/>
    <col min="10505" max="10506" width="11.42578125" style="167"/>
    <col min="10507" max="10507" width="17.140625" style="167" customWidth="1"/>
    <col min="10508" max="10508" width="11.42578125" style="167"/>
    <col min="10509" max="10509" width="30.28515625" style="167" customWidth="1"/>
    <col min="10510" max="10754" width="11.42578125" style="167"/>
    <col min="10755" max="10755" width="7.28515625" style="167" customWidth="1"/>
    <col min="10756" max="10756" width="37.7109375" style="167" customWidth="1"/>
    <col min="10757" max="10757" width="17.85546875" style="167" customWidth="1"/>
    <col min="10758" max="10758" width="12.28515625" style="167" bestFit="1" customWidth="1"/>
    <col min="10759" max="10759" width="11.42578125" style="167"/>
    <col min="10760" max="10760" width="24.140625" style="167" customWidth="1"/>
    <col min="10761" max="10762" width="11.42578125" style="167"/>
    <col min="10763" max="10763" width="17.140625" style="167" customWidth="1"/>
    <col min="10764" max="10764" width="11.42578125" style="167"/>
    <col min="10765" max="10765" width="30.28515625" style="167" customWidth="1"/>
    <col min="10766" max="11010" width="11.42578125" style="167"/>
    <col min="11011" max="11011" width="7.28515625" style="167" customWidth="1"/>
    <col min="11012" max="11012" width="37.7109375" style="167" customWidth="1"/>
    <col min="11013" max="11013" width="17.85546875" style="167" customWidth="1"/>
    <col min="11014" max="11014" width="12.28515625" style="167" bestFit="1" customWidth="1"/>
    <col min="11015" max="11015" width="11.42578125" style="167"/>
    <col min="11016" max="11016" width="24.140625" style="167" customWidth="1"/>
    <col min="11017" max="11018" width="11.42578125" style="167"/>
    <col min="11019" max="11019" width="17.140625" style="167" customWidth="1"/>
    <col min="11020" max="11020" width="11.42578125" style="167"/>
    <col min="11021" max="11021" width="30.28515625" style="167" customWidth="1"/>
    <col min="11022" max="11266" width="11.42578125" style="167"/>
    <col min="11267" max="11267" width="7.28515625" style="167" customWidth="1"/>
    <col min="11268" max="11268" width="37.7109375" style="167" customWidth="1"/>
    <col min="11269" max="11269" width="17.85546875" style="167" customWidth="1"/>
    <col min="11270" max="11270" width="12.28515625" style="167" bestFit="1" customWidth="1"/>
    <col min="11271" max="11271" width="11.42578125" style="167"/>
    <col min="11272" max="11272" width="24.140625" style="167" customWidth="1"/>
    <col min="11273" max="11274" width="11.42578125" style="167"/>
    <col min="11275" max="11275" width="17.140625" style="167" customWidth="1"/>
    <col min="11276" max="11276" width="11.42578125" style="167"/>
    <col min="11277" max="11277" width="30.28515625" style="167" customWidth="1"/>
    <col min="11278" max="11522" width="11.42578125" style="167"/>
    <col min="11523" max="11523" width="7.28515625" style="167" customWidth="1"/>
    <col min="11524" max="11524" width="37.7109375" style="167" customWidth="1"/>
    <col min="11525" max="11525" width="17.85546875" style="167" customWidth="1"/>
    <col min="11526" max="11526" width="12.28515625" style="167" bestFit="1" customWidth="1"/>
    <col min="11527" max="11527" width="11.42578125" style="167"/>
    <col min="11528" max="11528" width="24.140625" style="167" customWidth="1"/>
    <col min="11529" max="11530" width="11.42578125" style="167"/>
    <col min="11531" max="11531" width="17.140625" style="167" customWidth="1"/>
    <col min="11532" max="11532" width="11.42578125" style="167"/>
    <col min="11533" max="11533" width="30.28515625" style="167" customWidth="1"/>
    <col min="11534" max="11778" width="11.42578125" style="167"/>
    <col min="11779" max="11779" width="7.28515625" style="167" customWidth="1"/>
    <col min="11780" max="11780" width="37.7109375" style="167" customWidth="1"/>
    <col min="11781" max="11781" width="17.85546875" style="167" customWidth="1"/>
    <col min="11782" max="11782" width="12.28515625" style="167" bestFit="1" customWidth="1"/>
    <col min="11783" max="11783" width="11.42578125" style="167"/>
    <col min="11784" max="11784" width="24.140625" style="167" customWidth="1"/>
    <col min="11785" max="11786" width="11.42578125" style="167"/>
    <col min="11787" max="11787" width="17.140625" style="167" customWidth="1"/>
    <col min="11788" max="11788" width="11.42578125" style="167"/>
    <col min="11789" max="11789" width="30.28515625" style="167" customWidth="1"/>
    <col min="11790" max="12034" width="11.42578125" style="167"/>
    <col min="12035" max="12035" width="7.28515625" style="167" customWidth="1"/>
    <col min="12036" max="12036" width="37.7109375" style="167" customWidth="1"/>
    <col min="12037" max="12037" width="17.85546875" style="167" customWidth="1"/>
    <col min="12038" max="12038" width="12.28515625" style="167" bestFit="1" customWidth="1"/>
    <col min="12039" max="12039" width="11.42578125" style="167"/>
    <col min="12040" max="12040" width="24.140625" style="167" customWidth="1"/>
    <col min="12041" max="12042" width="11.42578125" style="167"/>
    <col min="12043" max="12043" width="17.140625" style="167" customWidth="1"/>
    <col min="12044" max="12044" width="11.42578125" style="167"/>
    <col min="12045" max="12045" width="30.28515625" style="167" customWidth="1"/>
    <col min="12046" max="12290" width="11.42578125" style="167"/>
    <col min="12291" max="12291" width="7.28515625" style="167" customWidth="1"/>
    <col min="12292" max="12292" width="37.7109375" style="167" customWidth="1"/>
    <col min="12293" max="12293" width="17.85546875" style="167" customWidth="1"/>
    <col min="12294" max="12294" width="12.28515625" style="167" bestFit="1" customWidth="1"/>
    <col min="12295" max="12295" width="11.42578125" style="167"/>
    <col min="12296" max="12296" width="24.140625" style="167" customWidth="1"/>
    <col min="12297" max="12298" width="11.42578125" style="167"/>
    <col min="12299" max="12299" width="17.140625" style="167" customWidth="1"/>
    <col min="12300" max="12300" width="11.42578125" style="167"/>
    <col min="12301" max="12301" width="30.28515625" style="167" customWidth="1"/>
    <col min="12302" max="12546" width="11.42578125" style="167"/>
    <col min="12547" max="12547" width="7.28515625" style="167" customWidth="1"/>
    <col min="12548" max="12548" width="37.7109375" style="167" customWidth="1"/>
    <col min="12549" max="12549" width="17.85546875" style="167" customWidth="1"/>
    <col min="12550" max="12550" width="12.28515625" style="167" bestFit="1" customWidth="1"/>
    <col min="12551" max="12551" width="11.42578125" style="167"/>
    <col min="12552" max="12552" width="24.140625" style="167" customWidth="1"/>
    <col min="12553" max="12554" width="11.42578125" style="167"/>
    <col min="12555" max="12555" width="17.140625" style="167" customWidth="1"/>
    <col min="12556" max="12556" width="11.42578125" style="167"/>
    <col min="12557" max="12557" width="30.28515625" style="167" customWidth="1"/>
    <col min="12558" max="12802" width="11.42578125" style="167"/>
    <col min="12803" max="12803" width="7.28515625" style="167" customWidth="1"/>
    <col min="12804" max="12804" width="37.7109375" style="167" customWidth="1"/>
    <col min="12805" max="12805" width="17.85546875" style="167" customWidth="1"/>
    <col min="12806" max="12806" width="12.28515625" style="167" bestFit="1" customWidth="1"/>
    <col min="12807" max="12807" width="11.42578125" style="167"/>
    <col min="12808" max="12808" width="24.140625" style="167" customWidth="1"/>
    <col min="12809" max="12810" width="11.42578125" style="167"/>
    <col min="12811" max="12811" width="17.140625" style="167" customWidth="1"/>
    <col min="12812" max="12812" width="11.42578125" style="167"/>
    <col min="12813" max="12813" width="30.28515625" style="167" customWidth="1"/>
    <col min="12814" max="13058" width="11.42578125" style="167"/>
    <col min="13059" max="13059" width="7.28515625" style="167" customWidth="1"/>
    <col min="13060" max="13060" width="37.7109375" style="167" customWidth="1"/>
    <col min="13061" max="13061" width="17.85546875" style="167" customWidth="1"/>
    <col min="13062" max="13062" width="12.28515625" style="167" bestFit="1" customWidth="1"/>
    <col min="13063" max="13063" width="11.42578125" style="167"/>
    <col min="13064" max="13064" width="24.140625" style="167" customWidth="1"/>
    <col min="13065" max="13066" width="11.42578125" style="167"/>
    <col min="13067" max="13067" width="17.140625" style="167" customWidth="1"/>
    <col min="13068" max="13068" width="11.42578125" style="167"/>
    <col min="13069" max="13069" width="30.28515625" style="167" customWidth="1"/>
    <col min="13070" max="13314" width="11.42578125" style="167"/>
    <col min="13315" max="13315" width="7.28515625" style="167" customWidth="1"/>
    <col min="13316" max="13316" width="37.7109375" style="167" customWidth="1"/>
    <col min="13317" max="13317" width="17.85546875" style="167" customWidth="1"/>
    <col min="13318" max="13318" width="12.28515625" style="167" bestFit="1" customWidth="1"/>
    <col min="13319" max="13319" width="11.42578125" style="167"/>
    <col min="13320" max="13320" width="24.140625" style="167" customWidth="1"/>
    <col min="13321" max="13322" width="11.42578125" style="167"/>
    <col min="13323" max="13323" width="17.140625" style="167" customWidth="1"/>
    <col min="13324" max="13324" width="11.42578125" style="167"/>
    <col min="13325" max="13325" width="30.28515625" style="167" customWidth="1"/>
    <col min="13326" max="13570" width="11.42578125" style="167"/>
    <col min="13571" max="13571" width="7.28515625" style="167" customWidth="1"/>
    <col min="13572" max="13572" width="37.7109375" style="167" customWidth="1"/>
    <col min="13573" max="13573" width="17.85546875" style="167" customWidth="1"/>
    <col min="13574" max="13574" width="12.28515625" style="167" bestFit="1" customWidth="1"/>
    <col min="13575" max="13575" width="11.42578125" style="167"/>
    <col min="13576" max="13576" width="24.140625" style="167" customWidth="1"/>
    <col min="13577" max="13578" width="11.42578125" style="167"/>
    <col min="13579" max="13579" width="17.140625" style="167" customWidth="1"/>
    <col min="13580" max="13580" width="11.42578125" style="167"/>
    <col min="13581" max="13581" width="30.28515625" style="167" customWidth="1"/>
    <col min="13582" max="13826" width="11.42578125" style="167"/>
    <col min="13827" max="13827" width="7.28515625" style="167" customWidth="1"/>
    <col min="13828" max="13828" width="37.7109375" style="167" customWidth="1"/>
    <col min="13829" max="13829" width="17.85546875" style="167" customWidth="1"/>
    <col min="13830" max="13830" width="12.28515625" style="167" bestFit="1" customWidth="1"/>
    <col min="13831" max="13831" width="11.42578125" style="167"/>
    <col min="13832" max="13832" width="24.140625" style="167" customWidth="1"/>
    <col min="13833" max="13834" width="11.42578125" style="167"/>
    <col min="13835" max="13835" width="17.140625" style="167" customWidth="1"/>
    <col min="13836" max="13836" width="11.42578125" style="167"/>
    <col min="13837" max="13837" width="30.28515625" style="167" customWidth="1"/>
    <col min="13838" max="14082" width="11.42578125" style="167"/>
    <col min="14083" max="14083" width="7.28515625" style="167" customWidth="1"/>
    <col min="14084" max="14084" width="37.7109375" style="167" customWidth="1"/>
    <col min="14085" max="14085" width="17.85546875" style="167" customWidth="1"/>
    <col min="14086" max="14086" width="12.28515625" style="167" bestFit="1" customWidth="1"/>
    <col min="14087" max="14087" width="11.42578125" style="167"/>
    <col min="14088" max="14088" width="24.140625" style="167" customWidth="1"/>
    <col min="14089" max="14090" width="11.42578125" style="167"/>
    <col min="14091" max="14091" width="17.140625" style="167" customWidth="1"/>
    <col min="14092" max="14092" width="11.42578125" style="167"/>
    <col min="14093" max="14093" width="30.28515625" style="167" customWidth="1"/>
    <col min="14094" max="14338" width="11.42578125" style="167"/>
    <col min="14339" max="14339" width="7.28515625" style="167" customWidth="1"/>
    <col min="14340" max="14340" width="37.7109375" style="167" customWidth="1"/>
    <col min="14341" max="14341" width="17.85546875" style="167" customWidth="1"/>
    <col min="14342" max="14342" width="12.28515625" style="167" bestFit="1" customWidth="1"/>
    <col min="14343" max="14343" width="11.42578125" style="167"/>
    <col min="14344" max="14344" width="24.140625" style="167" customWidth="1"/>
    <col min="14345" max="14346" width="11.42578125" style="167"/>
    <col min="14347" max="14347" width="17.140625" style="167" customWidth="1"/>
    <col min="14348" max="14348" width="11.42578125" style="167"/>
    <col min="14349" max="14349" width="30.28515625" style="167" customWidth="1"/>
    <col min="14350" max="14594" width="11.42578125" style="167"/>
    <col min="14595" max="14595" width="7.28515625" style="167" customWidth="1"/>
    <col min="14596" max="14596" width="37.7109375" style="167" customWidth="1"/>
    <col min="14597" max="14597" width="17.85546875" style="167" customWidth="1"/>
    <col min="14598" max="14598" width="12.28515625" style="167" bestFit="1" customWidth="1"/>
    <col min="14599" max="14599" width="11.42578125" style="167"/>
    <col min="14600" max="14600" width="24.140625" style="167" customWidth="1"/>
    <col min="14601" max="14602" width="11.42578125" style="167"/>
    <col min="14603" max="14603" width="17.140625" style="167" customWidth="1"/>
    <col min="14604" max="14604" width="11.42578125" style="167"/>
    <col min="14605" max="14605" width="30.28515625" style="167" customWidth="1"/>
    <col min="14606" max="14850" width="11.42578125" style="167"/>
    <col min="14851" max="14851" width="7.28515625" style="167" customWidth="1"/>
    <col min="14852" max="14852" width="37.7109375" style="167" customWidth="1"/>
    <col min="14853" max="14853" width="17.85546875" style="167" customWidth="1"/>
    <col min="14854" max="14854" width="12.28515625" style="167" bestFit="1" customWidth="1"/>
    <col min="14855" max="14855" width="11.42578125" style="167"/>
    <col min="14856" max="14856" width="24.140625" style="167" customWidth="1"/>
    <col min="14857" max="14858" width="11.42578125" style="167"/>
    <col min="14859" max="14859" width="17.140625" style="167" customWidth="1"/>
    <col min="14860" max="14860" width="11.42578125" style="167"/>
    <col min="14861" max="14861" width="30.28515625" style="167" customWidth="1"/>
    <col min="14862" max="15106" width="11.42578125" style="167"/>
    <col min="15107" max="15107" width="7.28515625" style="167" customWidth="1"/>
    <col min="15108" max="15108" width="37.7109375" style="167" customWidth="1"/>
    <col min="15109" max="15109" width="17.85546875" style="167" customWidth="1"/>
    <col min="15110" max="15110" width="12.28515625" style="167" bestFit="1" customWidth="1"/>
    <col min="15111" max="15111" width="11.42578125" style="167"/>
    <col min="15112" max="15112" width="24.140625" style="167" customWidth="1"/>
    <col min="15113" max="15114" width="11.42578125" style="167"/>
    <col min="15115" max="15115" width="17.140625" style="167" customWidth="1"/>
    <col min="15116" max="15116" width="11.42578125" style="167"/>
    <col min="15117" max="15117" width="30.28515625" style="167" customWidth="1"/>
    <col min="15118" max="15362" width="11.42578125" style="167"/>
    <col min="15363" max="15363" width="7.28515625" style="167" customWidth="1"/>
    <col min="15364" max="15364" width="37.7109375" style="167" customWidth="1"/>
    <col min="15365" max="15365" width="17.85546875" style="167" customWidth="1"/>
    <col min="15366" max="15366" width="12.28515625" style="167" bestFit="1" customWidth="1"/>
    <col min="15367" max="15367" width="11.42578125" style="167"/>
    <col min="15368" max="15368" width="24.140625" style="167" customWidth="1"/>
    <col min="15369" max="15370" width="11.42578125" style="167"/>
    <col min="15371" max="15371" width="17.140625" style="167" customWidth="1"/>
    <col min="15372" max="15372" width="11.42578125" style="167"/>
    <col min="15373" max="15373" width="30.28515625" style="167" customWidth="1"/>
    <col min="15374" max="15618" width="11.42578125" style="167"/>
    <col min="15619" max="15619" width="7.28515625" style="167" customWidth="1"/>
    <col min="15620" max="15620" width="37.7109375" style="167" customWidth="1"/>
    <col min="15621" max="15621" width="17.85546875" style="167" customWidth="1"/>
    <col min="15622" max="15622" width="12.28515625" style="167" bestFit="1" customWidth="1"/>
    <col min="15623" max="15623" width="11.42578125" style="167"/>
    <col min="15624" max="15624" width="24.140625" style="167" customWidth="1"/>
    <col min="15625" max="15626" width="11.42578125" style="167"/>
    <col min="15627" max="15627" width="17.140625" style="167" customWidth="1"/>
    <col min="15628" max="15628" width="11.42578125" style="167"/>
    <col min="15629" max="15629" width="30.28515625" style="167" customWidth="1"/>
    <col min="15630" max="15874" width="11.42578125" style="167"/>
    <col min="15875" max="15875" width="7.28515625" style="167" customWidth="1"/>
    <col min="15876" max="15876" width="37.7109375" style="167" customWidth="1"/>
    <col min="15877" max="15877" width="17.85546875" style="167" customWidth="1"/>
    <col min="15878" max="15878" width="12.28515625" style="167" bestFit="1" customWidth="1"/>
    <col min="15879" max="15879" width="11.42578125" style="167"/>
    <col min="15880" max="15880" width="24.140625" style="167" customWidth="1"/>
    <col min="15881" max="15882" width="11.42578125" style="167"/>
    <col min="15883" max="15883" width="17.140625" style="167" customWidth="1"/>
    <col min="15884" max="15884" width="11.42578125" style="167"/>
    <col min="15885" max="15885" width="30.28515625" style="167" customWidth="1"/>
    <col min="15886" max="16130" width="11.42578125" style="167"/>
    <col min="16131" max="16131" width="7.28515625" style="167" customWidth="1"/>
    <col min="16132" max="16132" width="37.7109375" style="167" customWidth="1"/>
    <col min="16133" max="16133" width="17.85546875" style="167" customWidth="1"/>
    <col min="16134" max="16134" width="12.28515625" style="167" bestFit="1" customWidth="1"/>
    <col min="16135" max="16135" width="11.42578125" style="167"/>
    <col min="16136" max="16136" width="24.140625" style="167" customWidth="1"/>
    <col min="16137" max="16138" width="11.42578125" style="167"/>
    <col min="16139" max="16139" width="17.140625" style="167" customWidth="1"/>
    <col min="16140" max="16140" width="11.42578125" style="167"/>
    <col min="16141" max="16141" width="30.28515625" style="167" customWidth="1"/>
    <col min="16142" max="16384" width="11.42578125" style="167"/>
  </cols>
  <sheetData>
    <row r="1" spans="1:14" ht="15.75" x14ac:dyDescent="0.25">
      <c r="B1" s="293"/>
      <c r="C1" s="294" t="s">
        <v>910</v>
      </c>
      <c r="D1" s="295"/>
      <c r="E1" s="296"/>
      <c r="F1"/>
      <c r="G1"/>
      <c r="H1"/>
      <c r="I1"/>
    </row>
    <row r="2" spans="1:14" ht="15" x14ac:dyDescent="0.25">
      <c r="B2" s="293"/>
      <c r="C2" s="760" t="s">
        <v>1264</v>
      </c>
      <c r="D2" s="295"/>
      <c r="E2" s="296"/>
      <c r="F2"/>
      <c r="G2"/>
      <c r="H2"/>
      <c r="I2"/>
    </row>
    <row r="3" spans="1:14" ht="15" x14ac:dyDescent="0.25">
      <c r="B3" s="293"/>
      <c r="C3" s="761" t="s">
        <v>874</v>
      </c>
      <c r="D3" s="305"/>
      <c r="E3" s="296"/>
      <c r="F3"/>
      <c r="G3"/>
      <c r="H3"/>
      <c r="I3"/>
    </row>
    <row r="4" spans="1:14" ht="15" x14ac:dyDescent="0.25">
      <c r="B4" s="293"/>
      <c r="C4" s="762" t="s">
        <v>942</v>
      </c>
      <c r="D4" s="305"/>
      <c r="E4" s="296"/>
      <c r="F4"/>
      <c r="G4"/>
      <c r="H4"/>
      <c r="I4"/>
    </row>
    <row r="5" spans="1:14" ht="15" x14ac:dyDescent="0.25">
      <c r="B5" s="293"/>
      <c r="C5" s="763" t="s">
        <v>943</v>
      </c>
      <c r="D5" s="296"/>
      <c r="E5" s="296"/>
      <c r="F5"/>
      <c r="G5"/>
      <c r="H5"/>
      <c r="I5"/>
    </row>
    <row r="6" spans="1:14" ht="15" x14ac:dyDescent="0.25">
      <c r="B6" s="293"/>
      <c r="C6" s="764" t="s">
        <v>1265</v>
      </c>
      <c r="D6" s="297"/>
      <c r="E6" s="296"/>
      <c r="F6"/>
      <c r="G6"/>
      <c r="H6"/>
      <c r="I6"/>
    </row>
    <row r="7" spans="1:14" ht="15" x14ac:dyDescent="0.25">
      <c r="B7" s="293"/>
      <c r="C7" s="765" t="s">
        <v>945</v>
      </c>
      <c r="D7" s="193"/>
      <c r="E7" s="296"/>
      <c r="F7"/>
      <c r="G7"/>
      <c r="H7"/>
      <c r="I7"/>
    </row>
    <row r="8" spans="1:14" ht="15" x14ac:dyDescent="0.25">
      <c r="B8" s="293"/>
      <c r="C8" s="766" t="s">
        <v>852</v>
      </c>
      <c r="D8" s="305"/>
      <c r="E8" s="296"/>
      <c r="F8"/>
      <c r="G8"/>
      <c r="H8"/>
      <c r="I8"/>
    </row>
    <row r="9" spans="1:14" ht="15" x14ac:dyDescent="0.25">
      <c r="B9" s="293"/>
      <c r="C9" s="767" t="s">
        <v>946</v>
      </c>
      <c r="D9" s="305"/>
      <c r="E9" s="305"/>
      <c r="F9"/>
      <c r="G9"/>
      <c r="H9"/>
      <c r="I9"/>
    </row>
    <row r="10" spans="1:14" ht="15" x14ac:dyDescent="0.25">
      <c r="B10" s="293"/>
      <c r="C10" s="768" t="s">
        <v>947</v>
      </c>
      <c r="D10" s="296"/>
      <c r="E10" s="296"/>
      <c r="F10"/>
      <c r="G10"/>
      <c r="H10"/>
      <c r="I10"/>
    </row>
    <row r="11" spans="1:14" ht="30" customHeight="1" x14ac:dyDescent="0.25">
      <c r="A11" s="647" t="s">
        <v>1297</v>
      </c>
      <c r="B11" s="776" t="s">
        <v>948</v>
      </c>
      <c r="C11" s="306"/>
      <c r="D11" s="18"/>
      <c r="E11" s="18"/>
      <c r="F11" s="176"/>
      <c r="G11" s="647" t="s">
        <v>949</v>
      </c>
      <c r="H11" s="648" t="s">
        <v>950</v>
      </c>
      <c r="I11" s="307"/>
    </row>
    <row r="12" spans="1:14" ht="18" customHeight="1" x14ac:dyDescent="0.25">
      <c r="A12" s="787"/>
      <c r="B12" s="207"/>
      <c r="C12" s="854" t="s">
        <v>933</v>
      </c>
      <c r="D12" s="654"/>
      <c r="E12" s="655"/>
      <c r="F12" s="656"/>
      <c r="G12" s="724"/>
      <c r="H12" s="725"/>
      <c r="I12" s="258"/>
      <c r="J12" s="258"/>
      <c r="K12" s="258"/>
      <c r="L12" s="258"/>
      <c r="M12" s="258"/>
      <c r="N12" s="258"/>
    </row>
    <row r="13" spans="1:14" ht="15" x14ac:dyDescent="0.25">
      <c r="A13" s="787"/>
      <c r="B13" s="642"/>
      <c r="C13" s="652" t="s">
        <v>922</v>
      </c>
      <c r="D13" s="162"/>
      <c r="E13" s="653"/>
      <c r="F13" s="161"/>
      <c r="G13" s="726"/>
      <c r="H13" s="727"/>
      <c r="I13" s="257"/>
      <c r="J13" s="258"/>
      <c r="K13" s="258"/>
      <c r="L13" s="258"/>
      <c r="M13" s="258"/>
      <c r="N13" s="258"/>
    </row>
    <row r="14" spans="1:14" ht="15" x14ac:dyDescent="0.25">
      <c r="A14" s="787"/>
      <c r="B14" s="777"/>
      <c r="C14" s="253" t="s">
        <v>873</v>
      </c>
      <c r="D14" s="254"/>
      <c r="E14" s="657">
        <v>1.2</v>
      </c>
      <c r="F14" s="595" t="s">
        <v>64</v>
      </c>
      <c r="G14" s="617">
        <v>1.2</v>
      </c>
      <c r="H14" s="311">
        <f t="shared" ref="H14:H77" si="0">G14-E14</f>
        <v>0</v>
      </c>
      <c r="I14" s="257"/>
      <c r="J14" s="258"/>
      <c r="K14" s="258"/>
      <c r="L14" s="258"/>
      <c r="M14" s="258"/>
      <c r="N14" s="258"/>
    </row>
    <row r="15" spans="1:14" ht="15" x14ac:dyDescent="0.25">
      <c r="A15" s="787"/>
      <c r="B15" s="778"/>
      <c r="C15" s="187" t="s">
        <v>871</v>
      </c>
      <c r="D15" s="210"/>
      <c r="E15" s="211">
        <v>838</v>
      </c>
      <c r="F15" s="596" t="s">
        <v>95</v>
      </c>
      <c r="G15" s="618">
        <v>838</v>
      </c>
      <c r="H15" s="311">
        <f t="shared" si="0"/>
        <v>0</v>
      </c>
      <c r="I15" s="257"/>
      <c r="J15" s="258"/>
      <c r="K15" s="258"/>
      <c r="L15" s="258"/>
      <c r="M15" s="258"/>
      <c r="N15" s="258"/>
    </row>
    <row r="16" spans="1:14" ht="15" x14ac:dyDescent="0.25">
      <c r="A16" s="787"/>
      <c r="B16" s="642"/>
      <c r="C16" s="430" t="s">
        <v>911</v>
      </c>
      <c r="D16" s="563"/>
      <c r="E16" s="573">
        <f>0.001*E14*E15*86.4</f>
        <v>86.883839999999992</v>
      </c>
      <c r="F16" s="597" t="s">
        <v>912</v>
      </c>
      <c r="G16" s="619">
        <f>0.001*G14*G15*86.4</f>
        <v>86.883839999999992</v>
      </c>
      <c r="H16" s="311">
        <f t="shared" si="0"/>
        <v>0</v>
      </c>
      <c r="I16" s="257"/>
      <c r="J16" s="258"/>
      <c r="K16" s="258"/>
      <c r="L16" s="258"/>
      <c r="M16" s="258"/>
      <c r="N16" s="258"/>
    </row>
    <row r="17" spans="1:14" ht="15" x14ac:dyDescent="0.25">
      <c r="A17" s="787"/>
      <c r="B17" s="779"/>
      <c r="C17" s="187" t="s">
        <v>340</v>
      </c>
      <c r="D17" s="203"/>
      <c r="E17" s="211">
        <v>145</v>
      </c>
      <c r="F17" s="596" t="s">
        <v>95</v>
      </c>
      <c r="G17" s="618">
        <v>145</v>
      </c>
      <c r="H17" s="311">
        <f t="shared" si="0"/>
        <v>0</v>
      </c>
      <c r="I17" s="257"/>
      <c r="J17" s="258"/>
      <c r="K17" s="258"/>
      <c r="L17" s="258"/>
      <c r="M17" s="258"/>
      <c r="N17" s="258"/>
    </row>
    <row r="18" spans="1:14" ht="15" x14ac:dyDescent="0.25">
      <c r="A18" s="787"/>
      <c r="B18" s="642"/>
      <c r="C18" s="445" t="s">
        <v>921</v>
      </c>
      <c r="D18" s="563"/>
      <c r="E18" s="442">
        <f>0.001*E14*E17*86.4</f>
        <v>15.0336</v>
      </c>
      <c r="F18" s="597" t="s">
        <v>925</v>
      </c>
      <c r="G18" s="620">
        <f>0.001*G14*G17*86.4</f>
        <v>15.0336</v>
      </c>
      <c r="H18" s="311">
        <f t="shared" si="0"/>
        <v>0</v>
      </c>
      <c r="I18" s="257"/>
      <c r="J18" s="258"/>
      <c r="K18" s="258"/>
      <c r="L18" s="258"/>
      <c r="M18" s="258"/>
      <c r="N18" s="258"/>
    </row>
    <row r="19" spans="1:14" ht="15" x14ac:dyDescent="0.25">
      <c r="A19" s="787"/>
      <c r="B19" s="642"/>
      <c r="C19" s="445" t="s">
        <v>338</v>
      </c>
      <c r="D19" s="571"/>
      <c r="E19" s="572">
        <f>E110</f>
        <v>0.9</v>
      </c>
      <c r="F19" s="597"/>
      <c r="G19" s="621">
        <f>G110</f>
        <v>0.9</v>
      </c>
      <c r="H19" s="311">
        <f t="shared" si="0"/>
        <v>0</v>
      </c>
      <c r="I19" s="257"/>
      <c r="J19" s="258"/>
      <c r="K19" s="258"/>
      <c r="L19" s="258"/>
      <c r="M19" s="258"/>
      <c r="N19" s="258"/>
    </row>
    <row r="20" spans="1:14" ht="15" x14ac:dyDescent="0.25">
      <c r="A20" s="791"/>
      <c r="B20" s="809" t="s">
        <v>1296</v>
      </c>
      <c r="C20" s="266" t="s">
        <v>1218</v>
      </c>
      <c r="D20" s="589" t="str">
        <f>D115</f>
        <v>hay proceso Anammox estricto</v>
      </c>
      <c r="E20" s="526">
        <f>IF(E115&lt;E113,94%,79%)</f>
        <v>0.94</v>
      </c>
      <c r="F20" s="598"/>
      <c r="G20" s="621">
        <f>IF(G115&lt;G113,94%,79%)</f>
        <v>0.94</v>
      </c>
      <c r="H20" s="311">
        <f t="shared" si="0"/>
        <v>0</v>
      </c>
      <c r="I20" s="257"/>
      <c r="J20" s="258"/>
      <c r="K20" s="258"/>
      <c r="L20" s="258"/>
      <c r="M20" s="258"/>
      <c r="N20" s="258"/>
    </row>
    <row r="21" spans="1:14" ht="15" x14ac:dyDescent="0.25">
      <c r="A21" s="792"/>
      <c r="B21" s="810"/>
      <c r="C21" s="187" t="s">
        <v>1256</v>
      </c>
      <c r="D21" s="570" t="str">
        <f>IF(E21&gt;E20,"excesiva"," ")</f>
        <v xml:space="preserve"> </v>
      </c>
      <c r="E21" s="209">
        <v>0.9</v>
      </c>
      <c r="F21" s="599"/>
      <c r="G21" s="621">
        <v>0.9</v>
      </c>
      <c r="H21" s="311">
        <f t="shared" si="0"/>
        <v>0</v>
      </c>
      <c r="I21" s="257"/>
      <c r="J21" s="258"/>
      <c r="K21" s="258"/>
      <c r="L21" s="258"/>
      <c r="M21" s="258"/>
      <c r="N21" s="258"/>
    </row>
    <row r="22" spans="1:14" ht="15" x14ac:dyDescent="0.25">
      <c r="A22" s="787"/>
      <c r="B22" s="642"/>
      <c r="C22" s="445" t="s">
        <v>1166</v>
      </c>
      <c r="D22" s="563"/>
      <c r="E22" s="479">
        <f>E17*E21</f>
        <v>130.5</v>
      </c>
      <c r="F22" s="600" t="s">
        <v>95</v>
      </c>
      <c r="G22" s="618">
        <f>G17*G21</f>
        <v>130.5</v>
      </c>
      <c r="H22" s="311">
        <f t="shared" si="0"/>
        <v>0</v>
      </c>
      <c r="I22" s="257"/>
      <c r="J22" s="258"/>
      <c r="K22" s="258"/>
      <c r="L22" s="258"/>
      <c r="M22" s="258"/>
      <c r="N22" s="258"/>
    </row>
    <row r="23" spans="1:14" ht="15" x14ac:dyDescent="0.25">
      <c r="A23" s="787"/>
      <c r="B23" s="642"/>
      <c r="C23" s="304" t="s">
        <v>1019</v>
      </c>
      <c r="D23" s="386"/>
      <c r="E23" s="387">
        <f>E54+E126</f>
        <v>35.693400940516497</v>
      </c>
      <c r="F23" s="386" t="s">
        <v>80</v>
      </c>
      <c r="G23" s="311">
        <f>G54+G126</f>
        <v>35.693400940516497</v>
      </c>
      <c r="H23" s="311">
        <f t="shared" si="0"/>
        <v>0</v>
      </c>
      <c r="I23" s="257"/>
      <c r="J23" s="258"/>
      <c r="K23" s="258"/>
      <c r="L23" s="258"/>
      <c r="M23" s="258"/>
      <c r="N23" s="258"/>
    </row>
    <row r="24" spans="1:14" ht="15" customHeight="1" x14ac:dyDescent="0.25">
      <c r="A24" s="787"/>
      <c r="B24" s="642"/>
      <c r="C24" s="721" t="s">
        <v>1160</v>
      </c>
      <c r="D24" s="208"/>
      <c r="E24" s="616"/>
      <c r="F24" s="643"/>
      <c r="G24" s="649"/>
      <c r="H24" s="650"/>
      <c r="I24" s="257"/>
      <c r="J24" s="258"/>
      <c r="K24" s="258"/>
      <c r="L24" s="258"/>
      <c r="M24" s="258"/>
      <c r="N24" s="258"/>
    </row>
    <row r="25" spans="1:14" ht="15" hidden="1" customHeight="1" x14ac:dyDescent="0.25">
      <c r="A25" s="787"/>
      <c r="B25" s="642"/>
      <c r="C25" s="250" t="s">
        <v>884</v>
      </c>
      <c r="D25" s="251"/>
      <c r="E25" s="252">
        <v>4</v>
      </c>
      <c r="F25" s="601"/>
      <c r="G25" s="622">
        <v>4</v>
      </c>
      <c r="H25" s="311">
        <f t="shared" si="0"/>
        <v>0</v>
      </c>
      <c r="I25" s="257"/>
      <c r="J25" s="258"/>
      <c r="K25" s="258"/>
      <c r="L25" s="258"/>
      <c r="M25" s="258"/>
      <c r="N25" s="258"/>
    </row>
    <row r="26" spans="1:14" ht="15" customHeight="1" x14ac:dyDescent="0.25">
      <c r="A26" s="787"/>
      <c r="B26" s="779" t="s">
        <v>940</v>
      </c>
      <c r="C26" s="181" t="s">
        <v>1258</v>
      </c>
      <c r="D26" s="171"/>
      <c r="E26" s="199">
        <v>2</v>
      </c>
      <c r="F26" s="171" t="s">
        <v>201</v>
      </c>
      <c r="G26" s="623">
        <v>2</v>
      </c>
      <c r="H26" s="311">
        <f t="shared" si="0"/>
        <v>0</v>
      </c>
      <c r="I26" s="257"/>
      <c r="J26" s="258"/>
      <c r="K26" s="258"/>
      <c r="L26" s="258"/>
      <c r="M26" s="258"/>
      <c r="N26" s="258"/>
    </row>
    <row r="27" spans="1:14" ht="15" customHeight="1" x14ac:dyDescent="0.25">
      <c r="A27" s="787"/>
      <c r="B27" s="779" t="s">
        <v>940</v>
      </c>
      <c r="C27" s="181" t="s">
        <v>1206</v>
      </c>
      <c r="D27" s="171"/>
      <c r="E27" s="199">
        <v>3</v>
      </c>
      <c r="F27" s="171" t="s">
        <v>201</v>
      </c>
      <c r="G27" s="623">
        <v>3</v>
      </c>
      <c r="H27" s="311">
        <f t="shared" si="0"/>
        <v>0</v>
      </c>
      <c r="I27" s="257"/>
      <c r="J27" s="258"/>
      <c r="K27" s="258"/>
      <c r="L27" s="258"/>
      <c r="M27" s="258"/>
      <c r="N27" s="258"/>
    </row>
    <row r="28" spans="1:14" ht="15" customHeight="1" x14ac:dyDescent="0.25">
      <c r="A28" s="787"/>
      <c r="B28" s="780"/>
      <c r="C28" s="181" t="s">
        <v>1171</v>
      </c>
      <c r="D28" s="171"/>
      <c r="E28" s="199">
        <f>E26*E27</f>
        <v>6</v>
      </c>
      <c r="F28" s="171" t="s">
        <v>201</v>
      </c>
      <c r="G28" s="623">
        <f>G26*G27</f>
        <v>6</v>
      </c>
      <c r="H28" s="311">
        <f t="shared" si="0"/>
        <v>0</v>
      </c>
      <c r="I28" s="257"/>
      <c r="J28" s="258"/>
      <c r="K28" s="258"/>
      <c r="L28" s="258"/>
      <c r="M28" s="258"/>
      <c r="N28" s="258"/>
    </row>
    <row r="29" spans="1:14" ht="15" customHeight="1" x14ac:dyDescent="0.25">
      <c r="A29" s="787"/>
      <c r="B29" s="780" t="s">
        <v>1220</v>
      </c>
      <c r="C29" s="266" t="s">
        <v>1257</v>
      </c>
      <c r="D29" s="267"/>
      <c r="E29" s="458">
        <v>2.8</v>
      </c>
      <c r="F29" s="598" t="s">
        <v>85</v>
      </c>
      <c r="G29" s="624">
        <v>2.8</v>
      </c>
      <c r="H29" s="311">
        <f t="shared" si="0"/>
        <v>0</v>
      </c>
      <c r="I29" s="257"/>
      <c r="J29" s="258"/>
      <c r="K29" s="258"/>
      <c r="L29" s="258"/>
      <c r="M29" s="258"/>
      <c r="N29" s="258"/>
    </row>
    <row r="30" spans="1:14" ht="15" customHeight="1" x14ac:dyDescent="0.25">
      <c r="A30" s="787"/>
      <c r="B30" s="780" t="s">
        <v>1220</v>
      </c>
      <c r="C30" s="266" t="s">
        <v>1219</v>
      </c>
      <c r="D30" s="267"/>
      <c r="E30" s="458">
        <v>1.8</v>
      </c>
      <c r="F30" s="598" t="s">
        <v>85</v>
      </c>
      <c r="G30" s="624">
        <v>1.8</v>
      </c>
      <c r="H30" s="311">
        <f t="shared" si="0"/>
        <v>0</v>
      </c>
      <c r="I30" s="257"/>
      <c r="J30" s="258"/>
      <c r="K30" s="258"/>
      <c r="L30" s="258"/>
      <c r="M30" s="258"/>
      <c r="N30" s="258"/>
    </row>
    <row r="31" spans="1:14" ht="15" customHeight="1" x14ac:dyDescent="0.25">
      <c r="A31" s="787"/>
      <c r="B31" s="560" t="s">
        <v>940</v>
      </c>
      <c r="C31" s="181" t="s">
        <v>883</v>
      </c>
      <c r="D31" s="575" t="str">
        <f>IF(E31&lt;E26*E29,"insuficiente","suficiente")</f>
        <v>suficiente</v>
      </c>
      <c r="E31" s="222">
        <f>E26*E29+0.2</f>
        <v>5.8</v>
      </c>
      <c r="F31" s="171" t="s">
        <v>85</v>
      </c>
      <c r="G31" s="625">
        <f>G26*G29+0.2</f>
        <v>5.8</v>
      </c>
      <c r="H31" s="311">
        <f t="shared" si="0"/>
        <v>0</v>
      </c>
      <c r="I31" s="257"/>
      <c r="J31" s="258"/>
      <c r="K31" s="258"/>
      <c r="L31" s="258"/>
      <c r="M31" s="258"/>
      <c r="N31" s="258"/>
    </row>
    <row r="32" spans="1:14" ht="15" customHeight="1" x14ac:dyDescent="0.25">
      <c r="A32" s="787"/>
      <c r="B32" s="560" t="s">
        <v>940</v>
      </c>
      <c r="C32" s="181" t="s">
        <v>1064</v>
      </c>
      <c r="D32" s="575" t="str">
        <f>IF(E32&lt;E27*E30,"insuficiente","suficiente")</f>
        <v>suficiente</v>
      </c>
      <c r="E32" s="222">
        <f>E27*2.2</f>
        <v>6.6000000000000005</v>
      </c>
      <c r="F32" s="171" t="s">
        <v>85</v>
      </c>
      <c r="G32" s="625">
        <f>G27*2.2</f>
        <v>6.6000000000000005</v>
      </c>
      <c r="H32" s="311">
        <f t="shared" si="0"/>
        <v>0</v>
      </c>
      <c r="I32" s="257"/>
      <c r="J32" s="258"/>
      <c r="K32" s="258"/>
      <c r="L32" s="258"/>
      <c r="M32" s="258"/>
      <c r="N32" s="258"/>
    </row>
    <row r="33" spans="1:14" ht="15" customHeight="1" x14ac:dyDescent="0.25">
      <c r="A33" s="787"/>
      <c r="B33" s="560"/>
      <c r="C33" s="304" t="s">
        <v>1261</v>
      </c>
      <c r="D33" s="386"/>
      <c r="E33" s="387">
        <f>E32/E27</f>
        <v>2.2000000000000002</v>
      </c>
      <c r="F33" s="386" t="s">
        <v>85</v>
      </c>
      <c r="G33" s="311">
        <f>G32/G27</f>
        <v>2.2000000000000002</v>
      </c>
      <c r="H33" s="311">
        <f t="shared" si="0"/>
        <v>0</v>
      </c>
      <c r="I33" s="257"/>
      <c r="J33" s="258"/>
      <c r="K33" s="258"/>
      <c r="L33" s="258"/>
      <c r="M33" s="258"/>
      <c r="N33" s="258"/>
    </row>
    <row r="34" spans="1:14" ht="15" customHeight="1" x14ac:dyDescent="0.25">
      <c r="A34" s="787"/>
      <c r="B34" s="447"/>
      <c r="C34" s="177" t="s">
        <v>1159</v>
      </c>
      <c r="D34" s="205"/>
      <c r="E34" s="216">
        <f>E31*E32</f>
        <v>38.28</v>
      </c>
      <c r="F34" s="602" t="s">
        <v>84</v>
      </c>
      <c r="G34" s="620">
        <f>G31*G32</f>
        <v>38.28</v>
      </c>
      <c r="H34" s="311">
        <f t="shared" si="0"/>
        <v>0</v>
      </c>
      <c r="I34" s="257"/>
      <c r="J34" s="258"/>
      <c r="K34" s="258"/>
      <c r="L34" s="258"/>
      <c r="M34" s="258"/>
      <c r="N34" s="258"/>
    </row>
    <row r="35" spans="1:14" ht="15" customHeight="1" x14ac:dyDescent="0.25">
      <c r="A35" s="787"/>
      <c r="B35" s="642"/>
      <c r="C35" s="430" t="s">
        <v>1165</v>
      </c>
      <c r="D35" s="438"/>
      <c r="E35" s="442">
        <f>E28*E61</f>
        <v>2.5786961659971452</v>
      </c>
      <c r="F35" s="563" t="s">
        <v>279</v>
      </c>
      <c r="G35" s="620">
        <f>G28*G61</f>
        <v>2.5786961659971452</v>
      </c>
      <c r="H35" s="311">
        <f t="shared" si="0"/>
        <v>0</v>
      </c>
      <c r="I35" s="257"/>
      <c r="J35" s="258"/>
      <c r="K35" s="258"/>
      <c r="L35" s="258"/>
      <c r="M35" s="258"/>
      <c r="N35" s="258"/>
    </row>
    <row r="36" spans="1:14" ht="15" customHeight="1" x14ac:dyDescent="0.25">
      <c r="A36" s="787"/>
      <c r="B36" s="781" t="s">
        <v>1077</v>
      </c>
      <c r="C36" s="266" t="s">
        <v>1063</v>
      </c>
      <c r="D36" s="436" t="s">
        <v>481</v>
      </c>
      <c r="E36" s="564">
        <v>1.6</v>
      </c>
      <c r="F36" s="603" t="s">
        <v>870</v>
      </c>
      <c r="G36" s="619">
        <v>1.6</v>
      </c>
      <c r="H36" s="311">
        <f t="shared" si="0"/>
        <v>0</v>
      </c>
      <c r="I36" s="257"/>
      <c r="J36" s="258"/>
      <c r="K36" s="258"/>
      <c r="L36" s="258"/>
      <c r="M36" s="258"/>
      <c r="N36" s="258"/>
    </row>
    <row r="37" spans="1:14" ht="15" customHeight="1" x14ac:dyDescent="0.25">
      <c r="A37" s="787"/>
      <c r="B37" s="780" t="s">
        <v>1062</v>
      </c>
      <c r="C37" s="266" t="s">
        <v>926</v>
      </c>
      <c r="D37" s="267"/>
      <c r="E37" s="526">
        <v>0.5</v>
      </c>
      <c r="F37" s="286"/>
      <c r="G37" s="621">
        <v>0.5</v>
      </c>
      <c r="H37" s="311">
        <f t="shared" si="0"/>
        <v>0</v>
      </c>
      <c r="I37" s="257"/>
      <c r="J37" s="258"/>
      <c r="K37" s="258"/>
      <c r="L37" s="258"/>
      <c r="M37" s="258"/>
      <c r="N37" s="258"/>
    </row>
    <row r="38" spans="1:14" ht="15" customHeight="1" x14ac:dyDescent="0.25">
      <c r="A38" s="787"/>
      <c r="B38" s="782"/>
      <c r="C38" s="160" t="s">
        <v>894</v>
      </c>
      <c r="D38" s="243"/>
      <c r="E38" s="216">
        <f>E37*E22</f>
        <v>65.25</v>
      </c>
      <c r="F38" s="604" t="s">
        <v>1148</v>
      </c>
      <c r="G38" s="620">
        <f>G37*G22</f>
        <v>65.25</v>
      </c>
      <c r="H38" s="311">
        <f t="shared" si="0"/>
        <v>0</v>
      </c>
      <c r="I38" s="257"/>
      <c r="J38" s="258"/>
      <c r="K38" s="258"/>
      <c r="L38" s="258"/>
      <c r="M38" s="258"/>
      <c r="N38" s="258"/>
    </row>
    <row r="39" spans="1:14" ht="15" customHeight="1" x14ac:dyDescent="0.25">
      <c r="A39" s="787"/>
      <c r="B39" s="780" t="s">
        <v>1061</v>
      </c>
      <c r="C39" s="266" t="s">
        <v>905</v>
      </c>
      <c r="D39" s="457" t="s">
        <v>1294</v>
      </c>
      <c r="E39" s="458">
        <v>3.43</v>
      </c>
      <c r="F39" s="598" t="s">
        <v>927</v>
      </c>
      <c r="G39" s="624">
        <v>3.43</v>
      </c>
      <c r="H39" s="311">
        <f t="shared" si="0"/>
        <v>0</v>
      </c>
      <c r="I39" s="257"/>
      <c r="J39" s="258"/>
      <c r="K39" s="258"/>
      <c r="L39" s="258"/>
      <c r="M39" s="258"/>
      <c r="N39" s="258"/>
    </row>
    <row r="40" spans="1:14" ht="15" customHeight="1" x14ac:dyDescent="0.25">
      <c r="A40" s="787"/>
      <c r="B40" s="780" t="s">
        <v>1295</v>
      </c>
      <c r="C40" s="177" t="s">
        <v>1149</v>
      </c>
      <c r="D40" s="486" t="s">
        <v>1298</v>
      </c>
      <c r="E40" s="280">
        <f>E38*E39</f>
        <v>223.8075</v>
      </c>
      <c r="F40" s="208" t="s">
        <v>1147</v>
      </c>
      <c r="G40" s="619">
        <f>G38*G39</f>
        <v>223.8075</v>
      </c>
      <c r="H40" s="311">
        <f t="shared" si="0"/>
        <v>0</v>
      </c>
      <c r="I40" s="257"/>
      <c r="J40" s="258"/>
      <c r="K40" s="258"/>
      <c r="L40" s="258"/>
      <c r="M40" s="258"/>
      <c r="N40" s="258"/>
    </row>
    <row r="41" spans="1:14" ht="15" customHeight="1" x14ac:dyDescent="0.25">
      <c r="A41" s="787"/>
      <c r="B41" s="780" t="s">
        <v>1144</v>
      </c>
      <c r="C41" s="177" t="s">
        <v>1146</v>
      </c>
      <c r="D41" s="205"/>
      <c r="E41" s="280">
        <f>'Parrilla Nitrificacion Parcial'!E52</f>
        <v>53.521101703641328</v>
      </c>
      <c r="F41" s="605" t="s">
        <v>1147</v>
      </c>
      <c r="G41" s="619">
        <f>'Parrilla Nitrificacion Parcial'!G52</f>
        <v>53.521101703641328</v>
      </c>
      <c r="H41" s="311">
        <f t="shared" si="0"/>
        <v>0</v>
      </c>
      <c r="I41" s="257"/>
      <c r="J41" s="258"/>
      <c r="K41" s="258"/>
      <c r="L41" s="258"/>
      <c r="M41" s="258"/>
      <c r="N41" s="258"/>
    </row>
    <row r="42" spans="1:14" ht="15" customHeight="1" x14ac:dyDescent="0.25">
      <c r="A42" s="787"/>
      <c r="B42" s="642"/>
      <c r="C42" s="445" t="s">
        <v>1150</v>
      </c>
      <c r="D42" s="441"/>
      <c r="E42" s="442">
        <f>E40/E41</f>
        <v>4.1816684050951283</v>
      </c>
      <c r="F42" s="563"/>
      <c r="G42" s="620">
        <f>G40/G41</f>
        <v>4.1816684050951283</v>
      </c>
      <c r="H42" s="311">
        <f t="shared" si="0"/>
        <v>0</v>
      </c>
      <c r="I42" s="257"/>
      <c r="J42" s="258"/>
      <c r="K42" s="258"/>
      <c r="L42" s="258"/>
      <c r="M42" s="258"/>
      <c r="N42" s="258"/>
    </row>
    <row r="43" spans="1:14" ht="15" customHeight="1" x14ac:dyDescent="0.25">
      <c r="A43" s="787"/>
      <c r="B43" s="560" t="s">
        <v>940</v>
      </c>
      <c r="C43" s="182" t="s">
        <v>1172</v>
      </c>
      <c r="D43" s="565" t="s">
        <v>1143</v>
      </c>
      <c r="E43" s="566">
        <v>60</v>
      </c>
      <c r="F43" s="480" t="s">
        <v>223</v>
      </c>
      <c r="G43" s="618">
        <v>60</v>
      </c>
      <c r="H43" s="311">
        <f t="shared" si="0"/>
        <v>0</v>
      </c>
      <c r="I43" s="257"/>
      <c r="J43" s="258"/>
      <c r="K43" s="258"/>
      <c r="L43" s="258"/>
      <c r="M43" s="258"/>
      <c r="N43" s="258"/>
    </row>
    <row r="44" spans="1:14" ht="15" customHeight="1" x14ac:dyDescent="0.25">
      <c r="A44" s="787"/>
      <c r="B44" s="560"/>
      <c r="C44" s="160" t="s">
        <v>928</v>
      </c>
      <c r="D44" s="292"/>
      <c r="E44" s="255">
        <f>24*60/E43</f>
        <v>24</v>
      </c>
      <c r="F44" s="208" t="s">
        <v>848</v>
      </c>
      <c r="G44" s="618">
        <f>24*60/G43</f>
        <v>24</v>
      </c>
      <c r="H44" s="311">
        <f t="shared" si="0"/>
        <v>0</v>
      </c>
      <c r="I44" s="257"/>
      <c r="J44" s="258"/>
      <c r="K44" s="258"/>
      <c r="L44" s="258"/>
      <c r="M44" s="258"/>
      <c r="N44" s="258"/>
    </row>
    <row r="45" spans="1:14" ht="15" customHeight="1" x14ac:dyDescent="0.25">
      <c r="A45" s="787"/>
      <c r="B45" s="781"/>
      <c r="C45" s="430" t="s">
        <v>1145</v>
      </c>
      <c r="D45" s="446"/>
      <c r="E45" s="442">
        <f>E14*E43*60/1000</f>
        <v>4.32</v>
      </c>
      <c r="F45" s="563" t="s">
        <v>84</v>
      </c>
      <c r="G45" s="620">
        <f>G14*G43*60/1000</f>
        <v>4.32</v>
      </c>
      <c r="H45" s="311">
        <f t="shared" si="0"/>
        <v>0</v>
      </c>
      <c r="I45" s="257"/>
      <c r="J45" s="258"/>
      <c r="K45" s="258"/>
      <c r="L45" s="258"/>
      <c r="M45" s="258"/>
      <c r="N45" s="258"/>
    </row>
    <row r="46" spans="1:14" ht="15" customHeight="1" x14ac:dyDescent="0.25">
      <c r="A46" s="787"/>
      <c r="B46" s="781"/>
      <c r="C46" s="177" t="s">
        <v>1151</v>
      </c>
      <c r="D46" s="205"/>
      <c r="E46" s="216">
        <f>E45*E42</f>
        <v>18.064807510010954</v>
      </c>
      <c r="F46" s="605" t="s">
        <v>1152</v>
      </c>
      <c r="G46" s="620">
        <f>G45*G42</f>
        <v>18.064807510010954</v>
      </c>
      <c r="H46" s="311">
        <f t="shared" si="0"/>
        <v>0</v>
      </c>
      <c r="I46" s="257"/>
      <c r="J46" s="258"/>
      <c r="K46" s="258"/>
      <c r="L46" s="258"/>
      <c r="M46" s="258"/>
      <c r="N46" s="258"/>
    </row>
    <row r="47" spans="1:14" ht="15" customHeight="1" x14ac:dyDescent="0.25">
      <c r="A47" s="787"/>
      <c r="B47" s="781"/>
      <c r="C47" s="177" t="s">
        <v>1153</v>
      </c>
      <c r="D47" s="205"/>
      <c r="E47" s="216">
        <f>E46-E45</f>
        <v>13.744807510010954</v>
      </c>
      <c r="F47" s="605" t="s">
        <v>1152</v>
      </c>
      <c r="G47" s="620">
        <f>G46-G45</f>
        <v>13.744807510010954</v>
      </c>
      <c r="H47" s="311">
        <f t="shared" si="0"/>
        <v>0</v>
      </c>
      <c r="I47" s="257"/>
      <c r="J47" s="258"/>
      <c r="K47" s="258"/>
      <c r="L47" s="258"/>
      <c r="M47" s="258"/>
      <c r="N47" s="258"/>
    </row>
    <row r="48" spans="1:14" ht="15" customHeight="1" x14ac:dyDescent="0.25">
      <c r="A48" s="787"/>
      <c r="B48" s="781"/>
      <c r="C48" s="160" t="s">
        <v>923</v>
      </c>
      <c r="D48" s="292"/>
      <c r="E48" s="255">
        <f>E45*E38</f>
        <v>281.88</v>
      </c>
      <c r="F48" s="208" t="s">
        <v>1155</v>
      </c>
      <c r="G48" s="618">
        <f>G45*G38</f>
        <v>281.88</v>
      </c>
      <c r="H48" s="311">
        <f t="shared" si="0"/>
        <v>0</v>
      </c>
      <c r="I48" s="257"/>
      <c r="J48" s="258"/>
      <c r="K48" s="258"/>
      <c r="L48" s="258"/>
      <c r="M48" s="258"/>
      <c r="N48" s="258"/>
    </row>
    <row r="49" spans="1:14" ht="15" customHeight="1" x14ac:dyDescent="0.25">
      <c r="A49" s="787"/>
      <c r="B49" s="781"/>
      <c r="C49" s="177" t="s">
        <v>924</v>
      </c>
      <c r="D49" s="486" t="s">
        <v>1299</v>
      </c>
      <c r="E49" s="226">
        <f>E45*E40</f>
        <v>966.84840000000008</v>
      </c>
      <c r="F49" s="208" t="s">
        <v>1156</v>
      </c>
      <c r="G49" s="626">
        <f>G45*G40</f>
        <v>966.84840000000008</v>
      </c>
      <c r="H49" s="311">
        <f t="shared" si="0"/>
        <v>0</v>
      </c>
      <c r="I49" s="257"/>
      <c r="J49" s="258"/>
      <c r="K49" s="258"/>
      <c r="L49" s="258"/>
      <c r="M49" s="258"/>
      <c r="N49" s="258"/>
    </row>
    <row r="50" spans="1:14" ht="15" customHeight="1" x14ac:dyDescent="0.35">
      <c r="A50" s="787"/>
      <c r="B50" s="449" t="s">
        <v>1135</v>
      </c>
      <c r="C50" s="528" t="s">
        <v>1142</v>
      </c>
      <c r="D50" s="529"/>
      <c r="E50" s="530">
        <f>-0.2535*E36^2+0.8272*E36</f>
        <v>0.67456000000000016</v>
      </c>
      <c r="F50" s="606" t="s">
        <v>1059</v>
      </c>
      <c r="G50" s="620">
        <f>-0.2535*G36^2+0.8272*G36</f>
        <v>0.67456000000000016</v>
      </c>
      <c r="H50" s="311">
        <f t="shared" si="0"/>
        <v>0</v>
      </c>
      <c r="I50" s="257"/>
      <c r="J50" s="258"/>
      <c r="K50" s="258"/>
      <c r="L50" s="258"/>
      <c r="M50" s="258"/>
      <c r="N50" s="258"/>
    </row>
    <row r="51" spans="1:14" ht="15" customHeight="1" x14ac:dyDescent="0.35">
      <c r="A51" s="787"/>
      <c r="B51" s="449" t="s">
        <v>1134</v>
      </c>
      <c r="C51" s="531"/>
      <c r="D51" s="532"/>
      <c r="E51" s="533">
        <f>E50/E44</f>
        <v>2.8106666666666672E-2</v>
      </c>
      <c r="F51" s="607" t="s">
        <v>1157</v>
      </c>
      <c r="G51" s="628">
        <f>G50/G44</f>
        <v>2.8106666666666672E-2</v>
      </c>
      <c r="H51" s="311">
        <f t="shared" si="0"/>
        <v>0</v>
      </c>
      <c r="I51" s="257"/>
      <c r="J51" s="258"/>
      <c r="K51" s="258"/>
      <c r="L51" s="258"/>
      <c r="M51" s="258"/>
      <c r="N51" s="258"/>
    </row>
    <row r="52" spans="1:14" ht="15" customHeight="1" x14ac:dyDescent="0.25">
      <c r="A52" s="787"/>
      <c r="B52" s="793"/>
      <c r="C52" s="164" t="s">
        <v>1154</v>
      </c>
      <c r="D52" s="173"/>
      <c r="E52" s="474">
        <f>E48/E51</f>
        <v>10028.937381404172</v>
      </c>
      <c r="F52" s="228" t="s">
        <v>84</v>
      </c>
      <c r="G52" s="626">
        <f>G48/G51</f>
        <v>10028.937381404172</v>
      </c>
      <c r="H52" s="311">
        <f t="shared" si="0"/>
        <v>0</v>
      </c>
      <c r="I52" s="257"/>
      <c r="J52" s="258"/>
      <c r="K52" s="258"/>
      <c r="L52" s="258"/>
      <c r="M52" s="258"/>
      <c r="N52" s="258"/>
    </row>
    <row r="53" spans="1:14" ht="15" customHeight="1" x14ac:dyDescent="0.25">
      <c r="A53" s="787"/>
      <c r="B53" s="793"/>
      <c r="C53" s="195" t="s">
        <v>881</v>
      </c>
      <c r="D53" s="196"/>
      <c r="E53" s="473">
        <f>'[2]Datos Bioportadores PP'!$F$35</f>
        <v>605.47590018476353</v>
      </c>
      <c r="F53" s="598" t="s">
        <v>306</v>
      </c>
      <c r="G53" s="629">
        <f>'[2]Datos Bioportadores PP'!$F$35</f>
        <v>605.47590018476353</v>
      </c>
      <c r="H53" s="311">
        <f t="shared" si="0"/>
        <v>0</v>
      </c>
      <c r="I53" s="257"/>
      <c r="J53" s="258"/>
      <c r="K53" s="258"/>
      <c r="L53" s="258"/>
      <c r="M53" s="258"/>
      <c r="N53" s="258"/>
    </row>
    <row r="54" spans="1:14" ht="15" customHeight="1" x14ac:dyDescent="0.25">
      <c r="A54" s="787"/>
      <c r="B54" s="793"/>
      <c r="C54" s="164" t="s">
        <v>1158</v>
      </c>
      <c r="D54" s="173"/>
      <c r="E54" s="238">
        <f>E52/E53</f>
        <v>16.563726778132374</v>
      </c>
      <c r="F54" s="228" t="s">
        <v>80</v>
      </c>
      <c r="G54" s="620">
        <f>G52/G53</f>
        <v>16.563726778132374</v>
      </c>
      <c r="H54" s="311">
        <f t="shared" si="0"/>
        <v>0</v>
      </c>
      <c r="I54" s="257"/>
      <c r="J54" s="258"/>
      <c r="K54" s="258"/>
      <c r="L54" s="258"/>
      <c r="M54" s="258"/>
      <c r="N54" s="258"/>
    </row>
    <row r="55" spans="1:14" ht="15" customHeight="1" x14ac:dyDescent="0.25">
      <c r="A55" s="787"/>
      <c r="B55" s="560"/>
      <c r="C55" s="448" t="s">
        <v>1058</v>
      </c>
      <c r="D55" s="247" t="s">
        <v>865</v>
      </c>
      <c r="E55" s="574">
        <f>E54/E34</f>
        <v>0.43269923662832743</v>
      </c>
      <c r="F55" s="608" t="s">
        <v>85</v>
      </c>
      <c r="G55" s="620">
        <f>G54/G34</f>
        <v>0.43269923662832743</v>
      </c>
      <c r="H55" s="311">
        <f t="shared" si="0"/>
        <v>0</v>
      </c>
      <c r="I55" s="257"/>
      <c r="J55" s="258"/>
      <c r="K55" s="258"/>
      <c r="L55" s="258"/>
      <c r="M55" s="258"/>
      <c r="N55" s="258"/>
    </row>
    <row r="56" spans="1:14" ht="15" customHeight="1" x14ac:dyDescent="0.25">
      <c r="A56" s="787"/>
      <c r="B56" s="642"/>
      <c r="C56" s="189" t="s">
        <v>1018</v>
      </c>
      <c r="D56" s="234" t="s">
        <v>958</v>
      </c>
      <c r="E56" s="238">
        <f>E45/E34</f>
        <v>0.11285266457680251</v>
      </c>
      <c r="F56" s="228" t="s">
        <v>85</v>
      </c>
      <c r="G56" s="620">
        <f>G45/G34</f>
        <v>0.11285266457680251</v>
      </c>
      <c r="H56" s="311">
        <f t="shared" si="0"/>
        <v>0</v>
      </c>
      <c r="I56" s="257"/>
      <c r="J56" s="258"/>
      <c r="K56" s="258"/>
      <c r="L56" s="258"/>
      <c r="M56" s="258"/>
      <c r="N56" s="258"/>
    </row>
    <row r="57" spans="1:14" ht="15" customHeight="1" x14ac:dyDescent="0.25">
      <c r="A57" s="787"/>
      <c r="B57" s="642"/>
      <c r="C57" s="189" t="s">
        <v>1161</v>
      </c>
      <c r="D57" s="234" t="s">
        <v>1162</v>
      </c>
      <c r="E57" s="238">
        <f>E47/E34</f>
        <v>0.35905975731481071</v>
      </c>
      <c r="F57" s="228" t="s">
        <v>85</v>
      </c>
      <c r="G57" s="620">
        <f>G47/G34</f>
        <v>0.35905975731481071</v>
      </c>
      <c r="H57" s="311">
        <f t="shared" si="0"/>
        <v>0</v>
      </c>
      <c r="I57" s="257"/>
      <c r="J57" s="258"/>
      <c r="K57" s="258"/>
      <c r="L57" s="258"/>
      <c r="M57" s="258"/>
      <c r="N57" s="258"/>
    </row>
    <row r="58" spans="1:14" ht="15" customHeight="1" x14ac:dyDescent="0.25">
      <c r="A58" s="787"/>
      <c r="B58" s="642"/>
      <c r="C58" s="164" t="s">
        <v>1163</v>
      </c>
      <c r="D58" s="173"/>
      <c r="E58" s="238">
        <f>E56+E57</f>
        <v>0.4719124218916132</v>
      </c>
      <c r="F58" s="228" t="s">
        <v>85</v>
      </c>
      <c r="G58" s="620">
        <f>G56+G57</f>
        <v>0.4719124218916132</v>
      </c>
      <c r="H58" s="311">
        <f t="shared" si="0"/>
        <v>0</v>
      </c>
      <c r="I58" s="257"/>
      <c r="J58" s="258"/>
      <c r="K58" s="258"/>
      <c r="L58" s="258"/>
      <c r="M58" s="258"/>
      <c r="N58" s="258"/>
    </row>
    <row r="59" spans="1:14" ht="15" customHeight="1" x14ac:dyDescent="0.25">
      <c r="A59" s="787"/>
      <c r="B59" s="259"/>
      <c r="C59" s="722" t="s">
        <v>1031</v>
      </c>
      <c r="D59" s="611"/>
      <c r="E59" s="641"/>
      <c r="F59" s="611"/>
      <c r="G59" s="715"/>
      <c r="H59" s="716"/>
      <c r="I59" s="257"/>
      <c r="J59" s="258"/>
      <c r="K59" s="258"/>
      <c r="L59" s="258"/>
      <c r="M59" s="258"/>
      <c r="N59" s="258"/>
    </row>
    <row r="60" spans="1:14" ht="15" customHeight="1" x14ac:dyDescent="0.25">
      <c r="A60" s="787"/>
      <c r="B60" s="787"/>
      <c r="C60" s="723" t="s">
        <v>1020</v>
      </c>
      <c r="D60" s="243"/>
      <c r="E60" s="525"/>
      <c r="F60" s="524"/>
      <c r="G60" s="717"/>
      <c r="H60" s="718"/>
      <c r="I60" s="257"/>
      <c r="J60" s="258"/>
      <c r="K60" s="258"/>
      <c r="L60" s="258"/>
      <c r="M60" s="258"/>
      <c r="N60" s="258"/>
    </row>
    <row r="61" spans="1:14" ht="15" customHeight="1" x14ac:dyDescent="0.25">
      <c r="A61" s="787"/>
      <c r="B61" s="335" t="s">
        <v>1144</v>
      </c>
      <c r="C61" s="164" t="s">
        <v>1164</v>
      </c>
      <c r="D61" s="173"/>
      <c r="E61" s="238">
        <f>'Parrilla Nitrificacion Parcial'!E49</f>
        <v>0.42978269433285754</v>
      </c>
      <c r="F61" s="228" t="s">
        <v>279</v>
      </c>
      <c r="G61" s="620">
        <f>'Parrilla Nitrificacion Parcial'!G49</f>
        <v>0.42978269433285754</v>
      </c>
      <c r="H61" s="311">
        <f t="shared" si="0"/>
        <v>0</v>
      </c>
      <c r="I61" s="257"/>
      <c r="J61" s="258"/>
      <c r="K61" s="258"/>
      <c r="L61" s="258"/>
      <c r="M61" s="258"/>
      <c r="N61" s="258"/>
    </row>
    <row r="62" spans="1:14" ht="15" customHeight="1" x14ac:dyDescent="0.25">
      <c r="A62" s="787"/>
      <c r="B62" s="259"/>
      <c r="C62" s="177" t="s">
        <v>1231</v>
      </c>
      <c r="D62" s="205" t="s">
        <v>1015</v>
      </c>
      <c r="E62" s="280">
        <f>60*E49/(1000*E35)</f>
        <v>22.496215244329882</v>
      </c>
      <c r="F62" s="208" t="s">
        <v>914</v>
      </c>
      <c r="G62" s="619">
        <f>60*G49/(1000*G35)</f>
        <v>22.496215244329882</v>
      </c>
      <c r="H62" s="311">
        <f t="shared" si="0"/>
        <v>0</v>
      </c>
      <c r="I62" s="257"/>
      <c r="J62" s="258"/>
      <c r="K62" s="258"/>
      <c r="L62" s="258"/>
      <c r="M62" s="258"/>
      <c r="N62" s="258"/>
    </row>
    <row r="63" spans="1:14" ht="15" customHeight="1" x14ac:dyDescent="0.25">
      <c r="A63" s="787"/>
      <c r="B63" s="259"/>
      <c r="C63" s="160" t="s">
        <v>1014</v>
      </c>
      <c r="D63" s="162" t="s">
        <v>869</v>
      </c>
      <c r="E63" s="227">
        <f>E74</f>
        <v>3.7807694570120085</v>
      </c>
      <c r="F63" s="604" t="s">
        <v>223</v>
      </c>
      <c r="G63" s="630">
        <f>G74</f>
        <v>3.7807694570120085</v>
      </c>
      <c r="H63" s="311">
        <f t="shared" si="0"/>
        <v>0</v>
      </c>
      <c r="I63" s="257"/>
      <c r="J63" s="258"/>
      <c r="K63" s="258"/>
      <c r="L63" s="258"/>
      <c r="M63" s="258"/>
      <c r="N63" s="258"/>
    </row>
    <row r="64" spans="1:14" ht="15" customHeight="1" x14ac:dyDescent="0.25">
      <c r="A64" s="787"/>
      <c r="B64" s="259"/>
      <c r="C64" s="160" t="s">
        <v>1248</v>
      </c>
      <c r="D64" s="162" t="s">
        <v>872</v>
      </c>
      <c r="E64" s="227">
        <f>E85</f>
        <v>18.649729195640123</v>
      </c>
      <c r="F64" s="604" t="s">
        <v>223</v>
      </c>
      <c r="G64" s="630">
        <f>G85</f>
        <v>18.650575986957065</v>
      </c>
      <c r="H64" s="311">
        <f t="shared" si="0"/>
        <v>8.4679131694187504E-4</v>
      </c>
      <c r="I64" s="257"/>
      <c r="J64" s="258"/>
      <c r="K64" s="258"/>
      <c r="L64" s="258"/>
      <c r="M64" s="258"/>
      <c r="N64" s="258"/>
    </row>
    <row r="65" spans="1:14" ht="15" customHeight="1" x14ac:dyDescent="0.25">
      <c r="A65" s="787"/>
      <c r="B65" s="259"/>
      <c r="C65" s="160" t="s">
        <v>1251</v>
      </c>
      <c r="D65" s="162" t="s">
        <v>1253</v>
      </c>
      <c r="E65" s="227">
        <f>E93</f>
        <v>10.591025928988863</v>
      </c>
      <c r="F65" s="604" t="s">
        <v>223</v>
      </c>
      <c r="G65" s="630">
        <f>G93</f>
        <v>10.591025928988863</v>
      </c>
      <c r="H65" s="311">
        <f t="shared" si="0"/>
        <v>0</v>
      </c>
      <c r="I65" s="257"/>
      <c r="J65" s="258"/>
      <c r="K65" s="258"/>
      <c r="L65" s="258"/>
      <c r="M65" s="258"/>
      <c r="N65" s="258"/>
    </row>
    <row r="66" spans="1:14" ht="15" customHeight="1" x14ac:dyDescent="0.25">
      <c r="A66" s="787"/>
      <c r="B66" s="259"/>
      <c r="C66" s="430" t="s">
        <v>1169</v>
      </c>
      <c r="D66" s="450" t="str">
        <f>IF(E66&gt;E43,"insuficiente","suficiente")</f>
        <v>suficiente</v>
      </c>
      <c r="E66" s="534">
        <f>SUM(E62:E65)</f>
        <v>55.517739825970878</v>
      </c>
      <c r="F66" s="597" t="s">
        <v>223</v>
      </c>
      <c r="G66" s="630">
        <f>SUM(G62:G65)</f>
        <v>55.518586617287816</v>
      </c>
      <c r="H66" s="311">
        <f t="shared" si="0"/>
        <v>8.4679131693832232E-4</v>
      </c>
      <c r="I66" s="257"/>
      <c r="J66" s="258"/>
      <c r="K66" s="258"/>
      <c r="L66" s="258"/>
      <c r="M66" s="258"/>
      <c r="N66" s="258"/>
    </row>
    <row r="67" spans="1:14" ht="15" customHeight="1" x14ac:dyDescent="0.25">
      <c r="A67" s="787"/>
      <c r="B67" s="259"/>
      <c r="C67" s="177" t="s">
        <v>1232</v>
      </c>
      <c r="D67" s="205"/>
      <c r="E67" s="280">
        <f>E43-E66</f>
        <v>4.4822601740291219</v>
      </c>
      <c r="F67" s="208" t="s">
        <v>914</v>
      </c>
      <c r="G67" s="619">
        <f>G43-G66</f>
        <v>4.4814133827121836</v>
      </c>
      <c r="H67" s="311">
        <f t="shared" si="0"/>
        <v>-8.4679131693832232E-4</v>
      </c>
      <c r="I67" s="257"/>
      <c r="J67" s="258"/>
      <c r="K67" s="258"/>
      <c r="L67" s="258"/>
      <c r="M67" s="258"/>
      <c r="N67" s="258"/>
    </row>
    <row r="68" spans="1:14" ht="15" customHeight="1" x14ac:dyDescent="0.25">
      <c r="A68" s="787"/>
      <c r="B68" s="449" t="s">
        <v>1076</v>
      </c>
      <c r="C68" s="430" t="s">
        <v>931</v>
      </c>
      <c r="D68" s="450" t="str">
        <f>IF(E68&lt;10,"insuficiente","suficiente")</f>
        <v>suficiente</v>
      </c>
      <c r="E68" s="573">
        <f>E43-E62</f>
        <v>37.503784755670118</v>
      </c>
      <c r="F68" s="563" t="s">
        <v>223</v>
      </c>
      <c r="G68" s="619">
        <f>G43-G62</f>
        <v>37.503784755670118</v>
      </c>
      <c r="H68" s="311">
        <f t="shared" si="0"/>
        <v>0</v>
      </c>
      <c r="I68" s="257"/>
      <c r="J68" s="258"/>
      <c r="K68" s="258"/>
      <c r="L68" s="258"/>
      <c r="M68" s="258"/>
      <c r="N68" s="258"/>
    </row>
    <row r="69" spans="1:14" ht="15" customHeight="1" x14ac:dyDescent="0.25">
      <c r="A69" s="787"/>
      <c r="B69" s="642"/>
      <c r="C69" s="721" t="s">
        <v>1021</v>
      </c>
      <c r="D69" s="208"/>
      <c r="E69" s="616"/>
      <c r="F69" s="643"/>
      <c r="G69" s="649"/>
      <c r="H69" s="650"/>
      <c r="I69" s="257"/>
      <c r="J69" s="258"/>
      <c r="K69" s="258"/>
      <c r="L69" s="258"/>
      <c r="M69" s="258"/>
      <c r="N69" s="258"/>
    </row>
    <row r="70" spans="1:14" ht="15" customHeight="1" x14ac:dyDescent="0.25">
      <c r="A70" s="787"/>
      <c r="B70" s="783"/>
      <c r="C70" s="451" t="s">
        <v>1012</v>
      </c>
      <c r="D70" s="457"/>
      <c r="E70" s="268">
        <v>0.1</v>
      </c>
      <c r="F70" s="609" t="s">
        <v>253</v>
      </c>
      <c r="G70" s="625">
        <v>0.1</v>
      </c>
      <c r="H70" s="311">
        <f t="shared" si="0"/>
        <v>0</v>
      </c>
      <c r="I70" s="257"/>
      <c r="J70" s="258"/>
      <c r="K70" s="258"/>
      <c r="L70" s="258"/>
      <c r="M70" s="258"/>
      <c r="N70" s="258"/>
    </row>
    <row r="71" spans="1:14" ht="15" customHeight="1" x14ac:dyDescent="0.25">
      <c r="A71" s="787"/>
      <c r="B71" s="780" t="s">
        <v>1080</v>
      </c>
      <c r="C71" s="451" t="s">
        <v>1013</v>
      </c>
      <c r="D71" s="457"/>
      <c r="E71" s="459">
        <v>1.0249999999999999</v>
      </c>
      <c r="F71" s="609"/>
      <c r="G71" s="631">
        <v>1.0249999999999999</v>
      </c>
      <c r="H71" s="311">
        <f t="shared" si="0"/>
        <v>0</v>
      </c>
      <c r="I71" s="257"/>
      <c r="J71" s="258"/>
      <c r="K71" s="258"/>
      <c r="L71" s="258"/>
      <c r="M71" s="258"/>
      <c r="N71" s="258"/>
    </row>
    <row r="72" spans="1:14" ht="15" customHeight="1" x14ac:dyDescent="0.25">
      <c r="A72" s="787"/>
      <c r="B72" s="784" t="s">
        <v>1209</v>
      </c>
      <c r="C72" s="160" t="s">
        <v>868</v>
      </c>
      <c r="D72" s="162"/>
      <c r="E72" s="233">
        <f>(10*9.8*(E71-1)*E70*0.001/3)^0.5</f>
        <v>9.0369611411506238E-3</v>
      </c>
      <c r="F72" s="208" t="s">
        <v>131</v>
      </c>
      <c r="G72" s="632">
        <f>(10*9.8*(G71-1)*G70*0.001/3)^0.5</f>
        <v>9.0369611411506238E-3</v>
      </c>
      <c r="H72" s="311">
        <f t="shared" si="0"/>
        <v>0</v>
      </c>
      <c r="I72" s="257"/>
      <c r="J72" s="258"/>
      <c r="K72" s="258"/>
      <c r="L72" s="258"/>
      <c r="M72" s="258"/>
      <c r="N72" s="258"/>
    </row>
    <row r="73" spans="1:14" ht="15" customHeight="1" x14ac:dyDescent="0.25">
      <c r="A73" s="787"/>
      <c r="B73" s="780" t="s">
        <v>1133</v>
      </c>
      <c r="C73" s="201" t="s">
        <v>217</v>
      </c>
      <c r="D73" s="475"/>
      <c r="E73" s="202">
        <v>2.0499999999999998</v>
      </c>
      <c r="F73" s="610" t="s">
        <v>85</v>
      </c>
      <c r="G73" s="625">
        <v>2.0499999999999998</v>
      </c>
      <c r="H73" s="311">
        <f t="shared" si="0"/>
        <v>0</v>
      </c>
      <c r="I73" s="257"/>
      <c r="J73" s="258"/>
      <c r="K73" s="258"/>
      <c r="L73" s="258"/>
      <c r="M73" s="258"/>
      <c r="N73" s="258"/>
    </row>
    <row r="74" spans="1:14" ht="15" customHeight="1" x14ac:dyDescent="0.25">
      <c r="A74" s="787"/>
      <c r="B74" s="783"/>
      <c r="C74" s="430" t="s">
        <v>1014</v>
      </c>
      <c r="D74" s="438" t="s">
        <v>869</v>
      </c>
      <c r="E74" s="439">
        <f>E73/(E72*60)</f>
        <v>3.7807694570120085</v>
      </c>
      <c r="F74" s="597" t="s">
        <v>223</v>
      </c>
      <c r="G74" s="625">
        <f>G73/(G72*60)</f>
        <v>3.7807694570120085</v>
      </c>
      <c r="H74" s="311">
        <f t="shared" si="0"/>
        <v>0</v>
      </c>
      <c r="I74" s="257"/>
      <c r="J74" s="258"/>
      <c r="K74" s="258"/>
      <c r="L74" s="258"/>
      <c r="M74" s="258"/>
      <c r="N74" s="258"/>
    </row>
    <row r="75" spans="1:14" ht="15" customHeight="1" x14ac:dyDescent="0.25">
      <c r="A75" s="787"/>
      <c r="B75" s="642"/>
      <c r="C75" s="721" t="s">
        <v>1234</v>
      </c>
      <c r="D75" s="208"/>
      <c r="E75" s="616"/>
      <c r="F75" s="643"/>
      <c r="G75" s="649"/>
      <c r="H75" s="650"/>
      <c r="I75" s="257"/>
      <c r="J75" s="258"/>
      <c r="K75" s="258"/>
      <c r="L75" s="258"/>
      <c r="M75" s="258"/>
      <c r="N75" s="258"/>
    </row>
    <row r="76" spans="1:14" ht="15" customHeight="1" x14ac:dyDescent="0.25">
      <c r="A76" s="787"/>
      <c r="B76" s="779" t="s">
        <v>940</v>
      </c>
      <c r="C76" s="434" t="s">
        <v>1002</v>
      </c>
      <c r="D76" s="522"/>
      <c r="E76" s="523">
        <v>2</v>
      </c>
      <c r="F76" s="183" t="s">
        <v>201</v>
      </c>
      <c r="G76" s="623">
        <v>2</v>
      </c>
      <c r="H76" s="311">
        <f t="shared" si="0"/>
        <v>0</v>
      </c>
      <c r="I76" s="257"/>
      <c r="J76" s="258"/>
      <c r="K76" s="258"/>
      <c r="L76" s="258"/>
      <c r="M76" s="258"/>
      <c r="N76" s="258"/>
    </row>
    <row r="77" spans="1:14" ht="15" customHeight="1" x14ac:dyDescent="0.25">
      <c r="A77" s="787"/>
      <c r="B77" s="642"/>
      <c r="C77" s="182" t="s">
        <v>906</v>
      </c>
      <c r="D77" s="197" t="s">
        <v>1003</v>
      </c>
      <c r="E77" s="523">
        <v>3</v>
      </c>
      <c r="F77" s="608" t="s">
        <v>129</v>
      </c>
      <c r="G77" s="623">
        <v>3</v>
      </c>
      <c r="H77" s="311">
        <f t="shared" si="0"/>
        <v>0</v>
      </c>
      <c r="I77" s="257"/>
      <c r="J77" s="258"/>
      <c r="K77" s="258"/>
      <c r="L77" s="258"/>
      <c r="M77" s="258"/>
      <c r="N77" s="258"/>
    </row>
    <row r="78" spans="1:14" ht="15" customHeight="1" x14ac:dyDescent="0.25">
      <c r="A78" s="787"/>
      <c r="B78" s="780" t="s">
        <v>1004</v>
      </c>
      <c r="C78" s="451" t="s">
        <v>1005</v>
      </c>
      <c r="D78" s="267"/>
      <c r="E78" s="456">
        <f>VLOOKUP(E77,'Válvula de Flotador'!A3:B6,2)</f>
        <v>43</v>
      </c>
      <c r="F78" s="286" t="s">
        <v>253</v>
      </c>
      <c r="G78" s="633">
        <f>VLOOKUP(G77,'Válvula de Flotador'!A3:BD6,2)</f>
        <v>43</v>
      </c>
      <c r="H78" s="311">
        <f t="shared" ref="H78:H128" si="1">G78-E78</f>
        <v>0</v>
      </c>
      <c r="I78" s="257"/>
      <c r="J78" s="258"/>
      <c r="K78" s="258"/>
      <c r="L78" s="258"/>
      <c r="M78" s="258"/>
      <c r="N78" s="258"/>
    </row>
    <row r="79" spans="1:14" ht="15" customHeight="1" x14ac:dyDescent="0.25">
      <c r="A79" s="787"/>
      <c r="B79" s="780" t="s">
        <v>1004</v>
      </c>
      <c r="C79" s="451" t="s">
        <v>1006</v>
      </c>
      <c r="D79" s="457" t="s">
        <v>1007</v>
      </c>
      <c r="E79" s="268">
        <f>'Válvula de Flotador'!E20</f>
        <v>0.99863897716727534</v>
      </c>
      <c r="F79" s="609"/>
      <c r="G79" s="625">
        <f>'Válvula de Flotador'!E20</f>
        <v>0.99863897716727534</v>
      </c>
      <c r="H79" s="311">
        <f t="shared" si="1"/>
        <v>0</v>
      </c>
      <c r="I79" s="257"/>
      <c r="J79" s="258"/>
      <c r="K79" s="258"/>
      <c r="L79" s="258"/>
      <c r="M79" s="258"/>
      <c r="N79" s="258"/>
    </row>
    <row r="80" spans="1:14" ht="15" customHeight="1" x14ac:dyDescent="0.25">
      <c r="A80" s="787"/>
      <c r="B80" s="780" t="s">
        <v>1133</v>
      </c>
      <c r="C80" s="249" t="s">
        <v>1167</v>
      </c>
      <c r="D80" s="385" t="s">
        <v>1136</v>
      </c>
      <c r="E80" s="373">
        <v>2</v>
      </c>
      <c r="F80" s="611" t="s">
        <v>85</v>
      </c>
      <c r="G80" s="627">
        <v>2</v>
      </c>
      <c r="H80" s="311">
        <f t="shared" si="1"/>
        <v>0</v>
      </c>
      <c r="I80" s="257"/>
      <c r="J80" s="258"/>
      <c r="K80" s="258"/>
      <c r="L80" s="258"/>
      <c r="M80" s="258"/>
      <c r="N80" s="258"/>
    </row>
    <row r="81" spans="1:14" ht="15" customHeight="1" x14ac:dyDescent="0.25">
      <c r="A81" s="787"/>
      <c r="B81" s="785" t="s">
        <v>1137</v>
      </c>
      <c r="C81" s="249" t="s">
        <v>851</v>
      </c>
      <c r="D81" s="521" t="str">
        <f>IF(ABS(E81-E80)&gt;0.02,"ejecutar función objetivo","correcto ")</f>
        <v xml:space="preserve">correcto </v>
      </c>
      <c r="E81" s="373">
        <f>'Tuberías Varias'!E3</f>
        <v>2.00008541801507</v>
      </c>
      <c r="F81" s="611" t="s">
        <v>85</v>
      </c>
      <c r="G81" s="634">
        <f>'Tuberías Varias'!G3</f>
        <v>1.9999044929815388</v>
      </c>
      <c r="H81" s="311">
        <f t="shared" si="1"/>
        <v>-1.8092503353117628E-4</v>
      </c>
      <c r="I81" s="257"/>
      <c r="J81" s="258"/>
      <c r="K81" s="258"/>
      <c r="L81" s="258"/>
      <c r="M81" s="258"/>
      <c r="N81" s="258"/>
    </row>
    <row r="82" spans="1:14" ht="15" customHeight="1" x14ac:dyDescent="0.25">
      <c r="A82" s="787"/>
      <c r="B82" s="786" t="s">
        <v>1138</v>
      </c>
      <c r="C82" s="430" t="s">
        <v>1139</v>
      </c>
      <c r="D82" s="438"/>
      <c r="E82" s="439">
        <v>7.6770593678514008</v>
      </c>
      <c r="F82" s="597" t="s">
        <v>64</v>
      </c>
      <c r="G82" s="625">
        <v>7.6767108066478817</v>
      </c>
      <c r="H82" s="311">
        <f t="shared" si="1"/>
        <v>-3.4856120351900444E-4</v>
      </c>
      <c r="I82" s="257"/>
      <c r="J82" s="258"/>
      <c r="K82" s="258"/>
      <c r="L82" s="258"/>
      <c r="M82" s="258"/>
      <c r="N82" s="258"/>
    </row>
    <row r="83" spans="1:14" ht="15" customHeight="1" x14ac:dyDescent="0.25">
      <c r="A83" s="787"/>
      <c r="B83" s="786"/>
      <c r="C83" s="430" t="s">
        <v>1140</v>
      </c>
      <c r="D83" s="438"/>
      <c r="E83" s="439">
        <f>E82*E76</f>
        <v>15.354118735702802</v>
      </c>
      <c r="F83" s="597" t="s">
        <v>64</v>
      </c>
      <c r="G83" s="625">
        <f>G82*G76</f>
        <v>15.353421613295763</v>
      </c>
      <c r="H83" s="311">
        <f t="shared" si="1"/>
        <v>-6.9712240703800887E-4</v>
      </c>
      <c r="I83" s="257"/>
      <c r="J83" s="258"/>
      <c r="K83" s="258"/>
      <c r="L83" s="258"/>
      <c r="M83" s="258"/>
      <c r="N83" s="258"/>
    </row>
    <row r="84" spans="1:14" ht="15" customHeight="1" x14ac:dyDescent="0.25">
      <c r="A84" s="787"/>
      <c r="B84" s="780" t="s">
        <v>1008</v>
      </c>
      <c r="C84" s="181" t="s">
        <v>1168</v>
      </c>
      <c r="D84" s="535">
        <v>0.8</v>
      </c>
      <c r="E84" s="222">
        <f>E83*D84</f>
        <v>12.283294988562242</v>
      </c>
      <c r="F84" s="612" t="s">
        <v>64</v>
      </c>
      <c r="G84" s="625">
        <f>G83*D84</f>
        <v>12.282737290636611</v>
      </c>
      <c r="H84" s="311">
        <f t="shared" si="1"/>
        <v>-5.5769792563076237E-4</v>
      </c>
      <c r="I84" s="257"/>
      <c r="J84" s="258"/>
      <c r="K84" s="258"/>
      <c r="L84" s="258"/>
      <c r="M84" s="258"/>
      <c r="N84" s="258"/>
    </row>
    <row r="85" spans="1:14" ht="15" customHeight="1" x14ac:dyDescent="0.25">
      <c r="A85" s="787"/>
      <c r="B85" s="780"/>
      <c r="C85" s="430" t="s">
        <v>1248</v>
      </c>
      <c r="D85" s="444" t="s">
        <v>872</v>
      </c>
      <c r="E85" s="442">
        <f>1000*E47/(E84*60)</f>
        <v>18.649729195640123</v>
      </c>
      <c r="F85" s="563" t="s">
        <v>223</v>
      </c>
      <c r="G85" s="620">
        <f>1000*G47/(G84*60)</f>
        <v>18.650575986957065</v>
      </c>
      <c r="H85" s="311">
        <f t="shared" si="1"/>
        <v>8.4679131694187504E-4</v>
      </c>
      <c r="I85" s="257"/>
      <c r="J85" s="258"/>
      <c r="K85" s="258"/>
      <c r="L85" s="258"/>
      <c r="M85" s="258"/>
      <c r="N85" s="258"/>
    </row>
    <row r="86" spans="1:14" ht="15" customHeight="1" x14ac:dyDescent="0.25">
      <c r="A86" s="787"/>
      <c r="B86" s="642"/>
      <c r="C86" s="723" t="s">
        <v>1235</v>
      </c>
      <c r="D86" s="193"/>
      <c r="E86" s="221"/>
      <c r="F86" s="194"/>
      <c r="G86" s="649"/>
      <c r="H86" s="650"/>
      <c r="I86" s="257"/>
      <c r="J86" s="258"/>
      <c r="K86" s="258"/>
      <c r="L86" s="258"/>
      <c r="M86" s="258"/>
      <c r="N86" s="258"/>
    </row>
    <row r="87" spans="1:14" ht="15" customHeight="1" x14ac:dyDescent="0.25">
      <c r="A87" s="787"/>
      <c r="B87" s="779" t="s">
        <v>940</v>
      </c>
      <c r="C87" s="434" t="s">
        <v>1236</v>
      </c>
      <c r="D87" s="522"/>
      <c r="E87" s="523">
        <v>2</v>
      </c>
      <c r="F87" s="183" t="s">
        <v>201</v>
      </c>
      <c r="G87" s="623">
        <v>2</v>
      </c>
      <c r="H87" s="311">
        <f t="shared" si="1"/>
        <v>0</v>
      </c>
      <c r="I87" s="257"/>
      <c r="J87" s="258"/>
      <c r="K87" s="258"/>
      <c r="L87" s="258"/>
      <c r="M87" s="258"/>
      <c r="N87" s="258"/>
    </row>
    <row r="88" spans="1:14" ht="15" customHeight="1" x14ac:dyDescent="0.25">
      <c r="A88" s="787"/>
      <c r="B88" s="642"/>
      <c r="C88" s="182" t="s">
        <v>1237</v>
      </c>
      <c r="D88" s="197"/>
      <c r="E88" s="523">
        <v>4</v>
      </c>
      <c r="F88" s="608" t="s">
        <v>129</v>
      </c>
      <c r="G88" s="623">
        <v>4</v>
      </c>
      <c r="H88" s="311">
        <f t="shared" si="1"/>
        <v>0</v>
      </c>
      <c r="I88" s="257"/>
      <c r="J88" s="258"/>
      <c r="K88" s="258"/>
      <c r="L88" s="258"/>
      <c r="M88" s="258"/>
      <c r="N88" s="258"/>
    </row>
    <row r="89" spans="1:14" ht="15" customHeight="1" x14ac:dyDescent="0.25">
      <c r="A89" s="787"/>
      <c r="B89" s="780" t="s">
        <v>1133</v>
      </c>
      <c r="C89" s="249" t="s">
        <v>1252</v>
      </c>
      <c r="D89" s="385" t="s">
        <v>1245</v>
      </c>
      <c r="E89" s="373">
        <v>1.8</v>
      </c>
      <c r="F89" s="611" t="s">
        <v>85</v>
      </c>
      <c r="G89" s="634">
        <v>1.8</v>
      </c>
      <c r="H89" s="311">
        <f t="shared" si="1"/>
        <v>0</v>
      </c>
      <c r="I89" s="257"/>
      <c r="J89" s="258"/>
      <c r="K89" s="258"/>
      <c r="L89" s="258"/>
      <c r="M89" s="258"/>
      <c r="N89" s="258"/>
    </row>
    <row r="90" spans="1:14" ht="15" customHeight="1" x14ac:dyDescent="0.25">
      <c r="A90" s="787"/>
      <c r="B90" s="785" t="s">
        <v>1246</v>
      </c>
      <c r="C90" s="249" t="s">
        <v>851</v>
      </c>
      <c r="D90" s="521" t="str">
        <f>IF(ABS(E90-E89)&gt;0.02,"ejecutar función objetivo","correcto ")</f>
        <v xml:space="preserve">correcto </v>
      </c>
      <c r="E90" s="373">
        <f>'Tuberías Varias'!E26</f>
        <v>1.7995018101698343</v>
      </c>
      <c r="F90" s="611" t="s">
        <v>85</v>
      </c>
      <c r="G90" s="625">
        <f>'Tuberías Varias'!G26</f>
        <v>1.7995018101698343</v>
      </c>
      <c r="H90" s="311">
        <f t="shared" si="1"/>
        <v>0</v>
      </c>
      <c r="I90" s="257"/>
      <c r="J90" s="258"/>
      <c r="K90" s="258"/>
      <c r="L90" s="258"/>
      <c r="M90" s="258"/>
      <c r="N90" s="258"/>
    </row>
    <row r="91" spans="1:14" ht="15" customHeight="1" x14ac:dyDescent="0.25">
      <c r="A91" s="787"/>
      <c r="B91" s="786" t="s">
        <v>1138</v>
      </c>
      <c r="C91" s="430" t="s">
        <v>1247</v>
      </c>
      <c r="D91" s="438"/>
      <c r="E91" s="439">
        <v>21.629644446420478</v>
      </c>
      <c r="F91" s="597" t="s">
        <v>64</v>
      </c>
      <c r="G91" s="625">
        <v>21.629644446420478</v>
      </c>
      <c r="H91" s="311">
        <f t="shared" si="1"/>
        <v>0</v>
      </c>
      <c r="I91" s="257"/>
      <c r="J91" s="258"/>
      <c r="K91" s="258"/>
      <c r="L91" s="258"/>
      <c r="M91" s="258"/>
      <c r="N91" s="258"/>
    </row>
    <row r="92" spans="1:14" ht="15" customHeight="1" x14ac:dyDescent="0.25">
      <c r="A92" s="787"/>
      <c r="B92" s="786"/>
      <c r="C92" s="430" t="s">
        <v>1250</v>
      </c>
      <c r="D92" s="438"/>
      <c r="E92" s="439">
        <f>E45*(E42-1)</f>
        <v>13.744807510010956</v>
      </c>
      <c r="F92" s="597" t="s">
        <v>1152</v>
      </c>
      <c r="G92" s="625">
        <f>G45*(G42-1)</f>
        <v>13.744807510010956</v>
      </c>
      <c r="H92" s="311">
        <f t="shared" si="1"/>
        <v>0</v>
      </c>
      <c r="I92" s="257"/>
      <c r="J92" s="258"/>
      <c r="K92" s="258"/>
      <c r="L92" s="258"/>
      <c r="M92" s="258"/>
      <c r="N92" s="258"/>
    </row>
    <row r="93" spans="1:14" ht="15" customHeight="1" x14ac:dyDescent="0.25">
      <c r="A93" s="787"/>
      <c r="B93" s="780"/>
      <c r="C93" s="430" t="s">
        <v>1249</v>
      </c>
      <c r="D93" s="444" t="s">
        <v>1253</v>
      </c>
      <c r="E93" s="442">
        <f>1000*E92/(E91*60)</f>
        <v>10.591025928988863</v>
      </c>
      <c r="F93" s="563" t="s">
        <v>223</v>
      </c>
      <c r="G93" s="620">
        <f>1000*G92/(G91*60)</f>
        <v>10.591025928988863</v>
      </c>
      <c r="H93" s="311">
        <f t="shared" si="1"/>
        <v>0</v>
      </c>
      <c r="I93" s="257"/>
      <c r="J93" s="258"/>
      <c r="K93" s="258"/>
      <c r="L93" s="258"/>
      <c r="M93" s="258"/>
      <c r="N93" s="258"/>
    </row>
    <row r="94" spans="1:14" ht="15" customHeight="1" x14ac:dyDescent="0.25">
      <c r="A94" s="787"/>
      <c r="B94" s="642"/>
      <c r="C94" s="721" t="s">
        <v>1170</v>
      </c>
      <c r="D94" s="208"/>
      <c r="E94" s="616"/>
      <c r="F94" s="643"/>
      <c r="G94" s="649"/>
      <c r="H94" s="650"/>
      <c r="I94" s="258"/>
      <c r="J94" s="258"/>
      <c r="K94" s="258"/>
      <c r="L94" s="258"/>
      <c r="M94" s="258"/>
      <c r="N94" s="258"/>
    </row>
    <row r="95" spans="1:14" ht="15" customHeight="1" x14ac:dyDescent="0.25">
      <c r="A95" s="787"/>
      <c r="B95" s="560" t="s">
        <v>940</v>
      </c>
      <c r="C95" s="241" t="s">
        <v>1016</v>
      </c>
      <c r="D95" s="284"/>
      <c r="E95" s="236">
        <v>3.4</v>
      </c>
      <c r="F95" s="171" t="s">
        <v>85</v>
      </c>
      <c r="G95" s="620">
        <v>3.4</v>
      </c>
      <c r="H95" s="311">
        <f t="shared" si="1"/>
        <v>0</v>
      </c>
      <c r="I95" s="258"/>
      <c r="J95" s="258"/>
      <c r="K95" s="258"/>
      <c r="L95" s="258"/>
      <c r="M95" s="258"/>
      <c r="N95" s="258"/>
    </row>
    <row r="96" spans="1:14" ht="15" customHeight="1" x14ac:dyDescent="0.25">
      <c r="A96" s="787"/>
      <c r="B96" s="642"/>
      <c r="C96" s="241" t="s">
        <v>883</v>
      </c>
      <c r="D96" s="284"/>
      <c r="E96" s="285">
        <v>4.2</v>
      </c>
      <c r="F96" s="613" t="s">
        <v>85</v>
      </c>
      <c r="G96" s="627">
        <v>4.2</v>
      </c>
      <c r="H96" s="311">
        <f t="shared" si="1"/>
        <v>0</v>
      </c>
      <c r="I96" s="258"/>
      <c r="J96" s="258"/>
      <c r="K96" s="258"/>
      <c r="L96" s="258"/>
      <c r="M96" s="258"/>
      <c r="N96" s="258"/>
    </row>
    <row r="97" spans="1:14" ht="15" customHeight="1" x14ac:dyDescent="0.25">
      <c r="A97" s="787"/>
      <c r="B97" s="560" t="s">
        <v>940</v>
      </c>
      <c r="C97" s="241" t="s">
        <v>397</v>
      </c>
      <c r="D97" s="284"/>
      <c r="E97" s="285">
        <v>6.8</v>
      </c>
      <c r="F97" s="613" t="s">
        <v>85</v>
      </c>
      <c r="G97" s="627">
        <v>6.8</v>
      </c>
      <c r="H97" s="311">
        <f t="shared" si="1"/>
        <v>0</v>
      </c>
      <c r="I97" s="258"/>
      <c r="J97" s="258"/>
      <c r="K97" s="258"/>
      <c r="L97" s="258"/>
      <c r="M97" s="258"/>
      <c r="N97" s="258"/>
    </row>
    <row r="98" spans="1:14" ht="15" customHeight="1" x14ac:dyDescent="0.25">
      <c r="A98" s="787"/>
      <c r="B98" s="642"/>
      <c r="C98" s="160" t="s">
        <v>886</v>
      </c>
      <c r="D98" s="205"/>
      <c r="E98" s="216">
        <f>E96*E97</f>
        <v>28.56</v>
      </c>
      <c r="F98" s="604" t="s">
        <v>84</v>
      </c>
      <c r="G98" s="620">
        <f>G96*G97</f>
        <v>28.56</v>
      </c>
      <c r="H98" s="311">
        <f t="shared" si="1"/>
        <v>0</v>
      </c>
      <c r="I98" s="180"/>
      <c r="J98" s="260"/>
      <c r="K98" s="261"/>
      <c r="L98" s="258"/>
      <c r="M98" s="258"/>
      <c r="N98" s="258"/>
    </row>
    <row r="99" spans="1:14" ht="15" customHeight="1" x14ac:dyDescent="0.25">
      <c r="A99" s="787"/>
      <c r="B99" s="642"/>
      <c r="C99" s="189" t="s">
        <v>1010</v>
      </c>
      <c r="D99" s="288"/>
      <c r="E99" s="238">
        <f>E45/E98</f>
        <v>0.15126050420168069</v>
      </c>
      <c r="F99" s="228" t="s">
        <v>85</v>
      </c>
      <c r="G99" s="620">
        <f>G45/G98</f>
        <v>0.15126050420168069</v>
      </c>
      <c r="H99" s="311">
        <f t="shared" si="1"/>
        <v>0</v>
      </c>
      <c r="I99" s="180"/>
      <c r="J99" s="260"/>
      <c r="K99" s="261"/>
      <c r="L99" s="258"/>
      <c r="M99" s="258"/>
      <c r="N99" s="258"/>
    </row>
    <row r="100" spans="1:14" ht="15" x14ac:dyDescent="0.25">
      <c r="A100" s="787"/>
      <c r="B100" s="560" t="s">
        <v>940</v>
      </c>
      <c r="C100" s="241" t="s">
        <v>1011</v>
      </c>
      <c r="D100" s="284"/>
      <c r="E100" s="285">
        <v>0.1</v>
      </c>
      <c r="F100" s="613" t="s">
        <v>85</v>
      </c>
      <c r="G100" s="627">
        <v>0.1</v>
      </c>
      <c r="H100" s="311">
        <f t="shared" si="1"/>
        <v>0</v>
      </c>
      <c r="I100" s="263"/>
      <c r="J100" s="262"/>
      <c r="K100" s="260"/>
      <c r="L100" s="258"/>
      <c r="M100" s="258"/>
      <c r="N100" s="258"/>
    </row>
    <row r="101" spans="1:14" ht="15" x14ac:dyDescent="0.25">
      <c r="A101" s="787"/>
      <c r="B101" s="642"/>
      <c r="C101" s="807" t="s">
        <v>1022</v>
      </c>
      <c r="D101" s="206" t="s">
        <v>1023</v>
      </c>
      <c r="E101" s="435">
        <v>0.1</v>
      </c>
      <c r="F101" s="171"/>
      <c r="G101" s="635">
        <v>0.1</v>
      </c>
      <c r="H101" s="311">
        <f t="shared" si="1"/>
        <v>0</v>
      </c>
      <c r="I101" s="263"/>
      <c r="J101" s="262"/>
      <c r="K101" s="260"/>
      <c r="L101" s="258"/>
      <c r="M101" s="258"/>
      <c r="N101" s="258"/>
    </row>
    <row r="102" spans="1:14" ht="15" x14ac:dyDescent="0.25">
      <c r="A102" s="787"/>
      <c r="B102" s="642"/>
      <c r="C102" s="808"/>
      <c r="D102" s="177" t="s">
        <v>1024</v>
      </c>
      <c r="E102" s="216">
        <f>E101*86.4*E14/E98</f>
        <v>0.36302521008403366</v>
      </c>
      <c r="F102" s="604" t="s">
        <v>85</v>
      </c>
      <c r="G102" s="620">
        <f>G101*86.4*G14/G98</f>
        <v>0.36302521008403366</v>
      </c>
      <c r="H102" s="311">
        <f t="shared" si="1"/>
        <v>0</v>
      </c>
      <c r="I102" s="263"/>
      <c r="J102" s="262"/>
      <c r="K102" s="260"/>
      <c r="L102" s="258"/>
      <c r="M102" s="258"/>
      <c r="N102" s="258"/>
    </row>
    <row r="103" spans="1:14" ht="15" x14ac:dyDescent="0.25">
      <c r="A103" s="787"/>
      <c r="B103" s="447"/>
      <c r="C103" s="160" t="s">
        <v>916</v>
      </c>
      <c r="D103" s="205"/>
      <c r="E103" s="216">
        <f>E95-E99-E100-E102</f>
        <v>2.7857142857142856</v>
      </c>
      <c r="F103" s="604" t="s">
        <v>85</v>
      </c>
      <c r="G103" s="620">
        <f>G95-G99-G100-G102</f>
        <v>2.7857142857142856</v>
      </c>
      <c r="H103" s="311">
        <f t="shared" si="1"/>
        <v>0</v>
      </c>
      <c r="I103" s="263"/>
      <c r="J103" s="262"/>
      <c r="K103" s="260"/>
      <c r="L103" s="258"/>
      <c r="M103" s="258"/>
      <c r="N103" s="258"/>
    </row>
    <row r="104" spans="1:14" ht="15" x14ac:dyDescent="0.25">
      <c r="A104" s="787"/>
      <c r="B104" s="560" t="s">
        <v>940</v>
      </c>
      <c r="C104" s="181" t="s">
        <v>887</v>
      </c>
      <c r="D104" s="229"/>
      <c r="E104" s="236">
        <v>0.4</v>
      </c>
      <c r="F104" s="171" t="s">
        <v>85</v>
      </c>
      <c r="G104" s="620">
        <v>0.4</v>
      </c>
      <c r="H104" s="311">
        <f t="shared" si="1"/>
        <v>0</v>
      </c>
      <c r="I104" s="263"/>
      <c r="J104" s="262"/>
      <c r="K104" s="260"/>
      <c r="L104" s="258"/>
      <c r="M104" s="258"/>
      <c r="N104" s="258"/>
    </row>
    <row r="105" spans="1:14" ht="15" x14ac:dyDescent="0.25">
      <c r="A105" s="787"/>
      <c r="B105" s="560"/>
      <c r="C105" s="445" t="s">
        <v>1057</v>
      </c>
      <c r="D105" s="431"/>
      <c r="E105" s="442">
        <f>E104*E98</f>
        <v>11.423999999999999</v>
      </c>
      <c r="F105" s="600" t="s">
        <v>80</v>
      </c>
      <c r="G105" s="620">
        <f>G104*G98</f>
        <v>11.423999999999999</v>
      </c>
      <c r="H105" s="311">
        <f t="shared" si="1"/>
        <v>0</v>
      </c>
      <c r="I105" s="263"/>
      <c r="J105" s="262"/>
      <c r="K105" s="260"/>
      <c r="L105" s="258"/>
      <c r="M105" s="258"/>
      <c r="N105" s="258"/>
    </row>
    <row r="106" spans="1:14" ht="15" x14ac:dyDescent="0.25">
      <c r="A106" s="787"/>
      <c r="B106" s="447"/>
      <c r="C106" s="164" t="s">
        <v>888</v>
      </c>
      <c r="D106" s="234"/>
      <c r="E106" s="238">
        <f>E98*E103</f>
        <v>79.559999999999988</v>
      </c>
      <c r="F106" s="170" t="s">
        <v>80</v>
      </c>
      <c r="G106" s="620">
        <f>G98*G103</f>
        <v>79.559999999999988</v>
      </c>
      <c r="H106" s="311">
        <f t="shared" si="1"/>
        <v>0</v>
      </c>
      <c r="I106" s="258"/>
      <c r="J106" s="258"/>
      <c r="K106" s="258"/>
      <c r="L106" s="258"/>
      <c r="M106" s="258"/>
      <c r="N106" s="258"/>
    </row>
    <row r="107" spans="1:14" ht="15" x14ac:dyDescent="0.25">
      <c r="A107" s="787"/>
      <c r="B107" s="232" t="s">
        <v>1030</v>
      </c>
      <c r="C107" s="189" t="s">
        <v>1266</v>
      </c>
      <c r="D107" s="256" t="str">
        <f>IF(E107&gt;1.15,"error","correcto")</f>
        <v>correcto</v>
      </c>
      <c r="E107" s="238">
        <f>E16/E106</f>
        <v>1.0920542986425339</v>
      </c>
      <c r="F107" s="170" t="s">
        <v>917</v>
      </c>
      <c r="G107" s="620">
        <f>G16/G106</f>
        <v>1.0920542986425339</v>
      </c>
      <c r="H107" s="311">
        <f t="shared" si="1"/>
        <v>0</v>
      </c>
      <c r="I107" s="258"/>
      <c r="J107" s="258"/>
      <c r="K107" s="258"/>
      <c r="L107" s="258"/>
      <c r="M107" s="258"/>
      <c r="N107" s="258"/>
    </row>
    <row r="108" spans="1:14" ht="15" x14ac:dyDescent="0.25">
      <c r="A108" s="787"/>
      <c r="B108" s="232" t="s">
        <v>1075</v>
      </c>
      <c r="C108" s="195" t="s">
        <v>1078</v>
      </c>
      <c r="D108" s="436"/>
      <c r="E108" s="240">
        <v>3.4</v>
      </c>
      <c r="F108" s="598" t="s">
        <v>100</v>
      </c>
      <c r="G108" s="636">
        <v>3.4</v>
      </c>
      <c r="H108" s="311">
        <f t="shared" si="1"/>
        <v>0</v>
      </c>
      <c r="I108" s="258"/>
      <c r="J108" s="258"/>
      <c r="K108" s="258"/>
      <c r="L108" s="258"/>
      <c r="M108" s="258"/>
      <c r="N108" s="258"/>
    </row>
    <row r="109" spans="1:14" ht="15" x14ac:dyDescent="0.25">
      <c r="A109" s="787"/>
      <c r="B109" s="560"/>
      <c r="C109" s="189" t="s">
        <v>1079</v>
      </c>
      <c r="D109" s="256" t="str">
        <f>IF(E109&lt;E108,"insuficiente","correcto")</f>
        <v>correcto</v>
      </c>
      <c r="E109" s="487">
        <f>E106/(3.6*E14)</f>
        <v>18.416666666666664</v>
      </c>
      <c r="F109" s="170" t="s">
        <v>100</v>
      </c>
      <c r="G109" s="628">
        <f>G106/(3.6*G14)</f>
        <v>18.416666666666664</v>
      </c>
      <c r="H109" s="311">
        <f t="shared" si="1"/>
        <v>0</v>
      </c>
      <c r="I109" s="258"/>
      <c r="J109" s="258"/>
      <c r="K109" s="258"/>
      <c r="L109" s="258"/>
      <c r="M109" s="258"/>
      <c r="N109" s="258"/>
    </row>
    <row r="110" spans="1:14" ht="15" x14ac:dyDescent="0.25">
      <c r="A110" s="787"/>
      <c r="B110" s="232" t="s">
        <v>1075</v>
      </c>
      <c r="C110" s="451" t="s">
        <v>920</v>
      </c>
      <c r="D110" s="454"/>
      <c r="E110" s="455">
        <v>0.9</v>
      </c>
      <c r="F110" s="609"/>
      <c r="G110" s="637">
        <v>0.9</v>
      </c>
      <c r="H110" s="311">
        <f t="shared" si="1"/>
        <v>0</v>
      </c>
      <c r="I110" s="258"/>
      <c r="J110" s="258"/>
      <c r="K110" s="258"/>
      <c r="L110" s="258"/>
      <c r="M110" s="258"/>
      <c r="N110" s="258"/>
    </row>
    <row r="111" spans="1:14" ht="15" x14ac:dyDescent="0.25">
      <c r="A111" s="787"/>
      <c r="B111" s="232"/>
      <c r="C111" s="160" t="s">
        <v>1060</v>
      </c>
      <c r="D111" s="205"/>
      <c r="E111" s="280">
        <f>E110*E16</f>
        <v>78.195455999999993</v>
      </c>
      <c r="F111" s="604" t="s">
        <v>242</v>
      </c>
      <c r="G111" s="619">
        <f>G110*G16</f>
        <v>78.195455999999993</v>
      </c>
      <c r="H111" s="311">
        <f t="shared" si="1"/>
        <v>0</v>
      </c>
      <c r="I111" s="258"/>
      <c r="J111" s="258"/>
      <c r="K111" s="258"/>
      <c r="L111" s="258"/>
      <c r="M111" s="258"/>
      <c r="N111" s="258"/>
    </row>
    <row r="112" spans="1:14" ht="15" x14ac:dyDescent="0.25">
      <c r="A112" s="787"/>
      <c r="B112" s="447"/>
      <c r="C112" s="189" t="s">
        <v>1009</v>
      </c>
      <c r="D112" s="256"/>
      <c r="E112" s="238">
        <f>E16-E111</f>
        <v>8.6883839999999992</v>
      </c>
      <c r="F112" s="228" t="s">
        <v>242</v>
      </c>
      <c r="G112" s="620">
        <f>G16-G111</f>
        <v>8.6883839999999992</v>
      </c>
      <c r="H112" s="311">
        <f t="shared" si="1"/>
        <v>0</v>
      </c>
      <c r="I112" s="258"/>
      <c r="J112" s="258"/>
      <c r="K112" s="258"/>
      <c r="L112" s="258"/>
      <c r="M112" s="258"/>
      <c r="N112" s="258"/>
    </row>
    <row r="113" spans="1:14" ht="15" x14ac:dyDescent="0.25">
      <c r="A113" s="787"/>
      <c r="B113" s="784" t="s">
        <v>1217</v>
      </c>
      <c r="C113" s="266" t="s">
        <v>1267</v>
      </c>
      <c r="D113" s="436" t="s">
        <v>1029</v>
      </c>
      <c r="E113" s="437">
        <v>1</v>
      </c>
      <c r="F113" s="286"/>
      <c r="G113" s="638">
        <v>1</v>
      </c>
      <c r="H113" s="311">
        <f t="shared" si="1"/>
        <v>0</v>
      </c>
      <c r="I113" s="258"/>
      <c r="J113" s="258"/>
      <c r="K113" s="258"/>
      <c r="L113" s="258"/>
      <c r="M113" s="258"/>
      <c r="N113" s="258"/>
    </row>
    <row r="114" spans="1:14" ht="15" customHeight="1" x14ac:dyDescent="0.25">
      <c r="A114" s="787"/>
      <c r="B114" s="383" t="s">
        <v>1217</v>
      </c>
      <c r="C114" s="266" t="s">
        <v>1268</v>
      </c>
      <c r="D114" s="436" t="s">
        <v>1029</v>
      </c>
      <c r="E114" s="437">
        <v>2.5</v>
      </c>
      <c r="F114" s="286"/>
      <c r="G114" s="638">
        <v>2.5</v>
      </c>
      <c r="H114" s="311">
        <f t="shared" si="1"/>
        <v>0</v>
      </c>
      <c r="I114" s="258"/>
      <c r="J114" s="258"/>
      <c r="K114" s="258"/>
      <c r="L114" s="258"/>
      <c r="M114" s="258"/>
      <c r="N114" s="258"/>
    </row>
    <row r="115" spans="1:14" ht="15" customHeight="1" x14ac:dyDescent="0.25">
      <c r="A115" s="787"/>
      <c r="B115" s="447"/>
      <c r="C115" s="445" t="s">
        <v>918</v>
      </c>
      <c r="D115" s="450" t="str">
        <f>IF(E115&lt;1,"hay proceso Anammox estricto",IF(E115&lt;E114,"hay proceso SNADo SAD","C/N excesivo"))</f>
        <v>hay proceso Anammox estricto</v>
      </c>
      <c r="E115" s="442">
        <f>E112/(E18*E21)</f>
        <v>0.64214559386973169</v>
      </c>
      <c r="F115" s="563"/>
      <c r="G115" s="620">
        <f>G112/(G18*G21)</f>
        <v>0.64214559386973169</v>
      </c>
      <c r="H115" s="311">
        <f t="shared" si="1"/>
        <v>0</v>
      </c>
      <c r="I115" s="258"/>
      <c r="J115" s="258"/>
      <c r="K115" s="258"/>
      <c r="L115" s="258"/>
      <c r="M115" s="258"/>
      <c r="N115" s="258"/>
    </row>
    <row r="116" spans="1:14" ht="37.5" customHeight="1" x14ac:dyDescent="0.25">
      <c r="A116" s="787"/>
      <c r="B116" s="780" t="s">
        <v>1086</v>
      </c>
      <c r="C116" s="491" t="s">
        <v>1087</v>
      </c>
      <c r="D116" s="492" t="s">
        <v>1088</v>
      </c>
      <c r="E116" s="493">
        <f>Nitrificación!C4</f>
        <v>1</v>
      </c>
      <c r="F116" s="614" t="s">
        <v>1089</v>
      </c>
      <c r="G116" s="639">
        <f>Nitrificación!C4</f>
        <v>1</v>
      </c>
      <c r="H116" s="639">
        <f t="shared" si="1"/>
        <v>0</v>
      </c>
      <c r="I116" s="258"/>
      <c r="J116" s="258"/>
      <c r="K116" s="258"/>
      <c r="L116" s="258"/>
      <c r="M116" s="258"/>
      <c r="N116" s="258"/>
    </row>
    <row r="117" spans="1:14" ht="15" customHeight="1" x14ac:dyDescent="0.25">
      <c r="A117" s="787"/>
      <c r="B117" s="230"/>
      <c r="C117" s="445" t="s">
        <v>1207</v>
      </c>
      <c r="D117" s="494" t="str">
        <f>IF(E117&lt;E116,"cumple","no cumple")</f>
        <v>cumple</v>
      </c>
      <c r="E117" s="453">
        <f>1000*E112/E52</f>
        <v>0.86633146360153279</v>
      </c>
      <c r="F117" s="615" t="s">
        <v>932</v>
      </c>
      <c r="G117" s="636">
        <f>1000*G112/G52</f>
        <v>0.86633146360153279</v>
      </c>
      <c r="H117" s="311">
        <f t="shared" si="1"/>
        <v>0</v>
      </c>
      <c r="I117" s="258"/>
      <c r="J117" s="258"/>
      <c r="K117" s="258"/>
      <c r="L117" s="258"/>
      <c r="M117" s="258"/>
      <c r="N117" s="258"/>
    </row>
    <row r="118" spans="1:14" ht="15" x14ac:dyDescent="0.25">
      <c r="A118" s="787"/>
      <c r="B118" s="642"/>
      <c r="C118" s="721" t="s">
        <v>1204</v>
      </c>
      <c r="D118" s="208"/>
      <c r="E118" s="616"/>
      <c r="F118" s="643"/>
      <c r="G118" s="649"/>
      <c r="H118" s="650"/>
      <c r="I118" s="258"/>
      <c r="J118" s="258"/>
      <c r="K118" s="258"/>
      <c r="L118" s="258"/>
      <c r="M118" s="258"/>
      <c r="N118" s="258"/>
    </row>
    <row r="119" spans="1:14" ht="15" x14ac:dyDescent="0.25">
      <c r="A119" s="787"/>
      <c r="B119" s="476"/>
      <c r="C119" s="448" t="s">
        <v>935</v>
      </c>
      <c r="D119" s="480"/>
      <c r="E119" s="481">
        <v>25</v>
      </c>
      <c r="F119" s="480" t="s">
        <v>930</v>
      </c>
      <c r="G119" s="619">
        <v>25</v>
      </c>
      <c r="H119" s="311">
        <f t="shared" si="1"/>
        <v>0</v>
      </c>
      <c r="I119" s="258"/>
      <c r="J119" s="258"/>
      <c r="K119" s="258"/>
      <c r="L119" s="258"/>
      <c r="M119" s="258"/>
      <c r="N119" s="258"/>
    </row>
    <row r="120" spans="1:14" ht="15" x14ac:dyDescent="0.25">
      <c r="A120" s="787"/>
      <c r="B120" s="449" t="s">
        <v>1208</v>
      </c>
      <c r="C120" s="266" t="s">
        <v>1025</v>
      </c>
      <c r="D120" s="436" t="s">
        <v>1026</v>
      </c>
      <c r="E120" s="287">
        <f>2.9+0.267*(E119-25)</f>
        <v>2.9</v>
      </c>
      <c r="F120" s="286" t="s">
        <v>1027</v>
      </c>
      <c r="G120" s="620">
        <f>2.9+0.267*(G119-25)</f>
        <v>2.9</v>
      </c>
      <c r="H120" s="311">
        <f t="shared" si="1"/>
        <v>0</v>
      </c>
      <c r="I120" s="258"/>
      <c r="J120" s="258"/>
      <c r="K120" s="258"/>
      <c r="L120" s="258"/>
      <c r="M120" s="258"/>
      <c r="N120" s="258"/>
    </row>
    <row r="121" spans="1:14" ht="15" x14ac:dyDescent="0.25">
      <c r="A121" s="787"/>
      <c r="B121" s="230"/>
      <c r="C121" s="177" t="s">
        <v>1200</v>
      </c>
      <c r="D121" s="205"/>
      <c r="E121" s="216">
        <f>E18*E21*E37</f>
        <v>6.7651200000000005</v>
      </c>
      <c r="F121" s="605" t="s">
        <v>1201</v>
      </c>
      <c r="G121" s="620">
        <f>G18*G21*G37</f>
        <v>6.7651200000000005</v>
      </c>
      <c r="H121" s="311">
        <f t="shared" si="1"/>
        <v>0</v>
      </c>
      <c r="I121" s="258"/>
      <c r="J121" s="258"/>
      <c r="K121" s="258"/>
      <c r="L121" s="258"/>
      <c r="M121" s="258"/>
      <c r="N121" s="258"/>
    </row>
    <row r="122" spans="1:14" ht="15" x14ac:dyDescent="0.25">
      <c r="A122" s="787"/>
      <c r="B122" s="232"/>
      <c r="C122" s="445" t="s">
        <v>1202</v>
      </c>
      <c r="D122" s="431"/>
      <c r="E122" s="432">
        <f>1000*E121/E120</f>
        <v>2332.8000000000002</v>
      </c>
      <c r="F122" s="563" t="s">
        <v>84</v>
      </c>
      <c r="G122" s="626">
        <f>1000*G121/G120</f>
        <v>2332.8000000000002</v>
      </c>
      <c r="H122" s="311">
        <f t="shared" si="1"/>
        <v>0</v>
      </c>
      <c r="I122" s="258"/>
      <c r="J122" s="258"/>
      <c r="K122" s="258"/>
      <c r="L122" s="258"/>
      <c r="M122" s="258"/>
      <c r="N122" s="258"/>
    </row>
    <row r="123" spans="1:14" ht="15" x14ac:dyDescent="0.25">
      <c r="A123" s="787"/>
      <c r="B123" s="232"/>
      <c r="C123" s="266" t="s">
        <v>881</v>
      </c>
      <c r="D123" s="436"/>
      <c r="E123" s="477">
        <f>'[2]Datos Bioportadores PP'!$F$35</f>
        <v>605.47590018476353</v>
      </c>
      <c r="F123" s="286" t="s">
        <v>306</v>
      </c>
      <c r="G123" s="640">
        <f>'[2]Datos Bioportadores PP'!$F$35</f>
        <v>605.47590018476353</v>
      </c>
      <c r="H123" s="311">
        <f t="shared" si="1"/>
        <v>0</v>
      </c>
      <c r="I123" s="258"/>
      <c r="J123" s="258"/>
      <c r="K123" s="258"/>
      <c r="L123" s="258"/>
      <c r="M123" s="258"/>
      <c r="N123" s="258"/>
    </row>
    <row r="124" spans="1:14" ht="15" x14ac:dyDescent="0.25">
      <c r="A124" s="787"/>
      <c r="B124" s="232" t="s">
        <v>1255</v>
      </c>
      <c r="C124" s="448" t="s">
        <v>1028</v>
      </c>
      <c r="D124" s="247"/>
      <c r="E124" s="478">
        <v>0.5</v>
      </c>
      <c r="F124" s="480"/>
      <c r="G124" s="621">
        <v>0.5</v>
      </c>
      <c r="H124" s="311">
        <f t="shared" si="1"/>
        <v>0</v>
      </c>
      <c r="I124" s="258"/>
      <c r="J124" s="258"/>
      <c r="K124" s="258"/>
      <c r="L124" s="258"/>
      <c r="M124" s="258"/>
      <c r="N124" s="258"/>
    </row>
    <row r="125" spans="1:14" ht="15" x14ac:dyDescent="0.25">
      <c r="A125" s="787"/>
      <c r="B125" s="232"/>
      <c r="C125" s="644" t="s">
        <v>1056</v>
      </c>
      <c r="D125" s="645"/>
      <c r="E125" s="646">
        <f>E122/(E123*E124)</f>
        <v>7.7056741623841223</v>
      </c>
      <c r="F125" s="645" t="s">
        <v>80</v>
      </c>
      <c r="G125" s="620">
        <f>G122/(G123*G124)</f>
        <v>7.7056741623841223</v>
      </c>
      <c r="H125" s="311">
        <f t="shared" si="1"/>
        <v>0</v>
      </c>
      <c r="I125" s="258"/>
      <c r="J125" s="258"/>
      <c r="K125" s="258"/>
      <c r="L125" s="258"/>
      <c r="M125" s="258"/>
      <c r="N125" s="258"/>
    </row>
    <row r="126" spans="1:14" ht="15" x14ac:dyDescent="0.25">
      <c r="A126" s="787"/>
      <c r="B126" s="232"/>
      <c r="C126" s="304" t="s">
        <v>1203</v>
      </c>
      <c r="D126" s="386"/>
      <c r="E126" s="387">
        <f>E105+E125</f>
        <v>19.12967416238412</v>
      </c>
      <c r="F126" s="386" t="s">
        <v>80</v>
      </c>
      <c r="G126" s="311">
        <f>G105+G125</f>
        <v>19.12967416238412</v>
      </c>
      <c r="H126" s="311">
        <f t="shared" si="1"/>
        <v>0</v>
      </c>
      <c r="I126" s="258"/>
      <c r="J126" s="258"/>
      <c r="K126" s="258"/>
      <c r="L126" s="258"/>
      <c r="M126" s="258"/>
      <c r="N126" s="258"/>
    </row>
    <row r="127" spans="1:14" ht="15" x14ac:dyDescent="0.25">
      <c r="A127" s="787"/>
      <c r="B127" s="232"/>
      <c r="C127" s="445" t="s">
        <v>915</v>
      </c>
      <c r="D127" s="446"/>
      <c r="E127" s="442">
        <f>E126/E98</f>
        <v>0.66980651829076054</v>
      </c>
      <c r="F127" s="563" t="s">
        <v>85</v>
      </c>
      <c r="G127" s="311">
        <f>G126/G98</f>
        <v>0.66980651829076054</v>
      </c>
      <c r="H127" s="311">
        <f t="shared" si="1"/>
        <v>0</v>
      </c>
      <c r="I127" s="258"/>
      <c r="J127" s="258"/>
      <c r="K127" s="258"/>
      <c r="L127" s="258"/>
      <c r="M127" s="258"/>
      <c r="N127" s="258"/>
    </row>
    <row r="128" spans="1:14" ht="15" x14ac:dyDescent="0.25">
      <c r="A128" s="787"/>
      <c r="B128" s="232"/>
      <c r="C128" s="445" t="s">
        <v>1065</v>
      </c>
      <c r="D128" s="446"/>
      <c r="E128" s="442">
        <f>60*100*0.001*E26*'Parrilla Nitrificacion Parcial'!F59/E98</f>
        <v>2.8116786067752106</v>
      </c>
      <c r="F128" s="563" t="s">
        <v>934</v>
      </c>
      <c r="G128" s="311">
        <f>60*100*0.001*G26*'Parrilla Nitrificacion Parcial'!F59/G98</f>
        <v>2.8116786067752106</v>
      </c>
      <c r="H128" s="311">
        <f t="shared" si="1"/>
        <v>0</v>
      </c>
      <c r="I128" s="258"/>
      <c r="J128" s="258"/>
      <c r="K128" s="258"/>
      <c r="L128" s="258"/>
      <c r="M128" s="258"/>
      <c r="N128" s="258"/>
    </row>
    <row r="130" spans="3:6" ht="15.75" x14ac:dyDescent="0.25">
      <c r="C130" s="800" t="s">
        <v>1269</v>
      </c>
      <c r="D130" s="801"/>
      <c r="E130"/>
      <c r="F130"/>
    </row>
    <row r="131" spans="3:6" ht="15" customHeight="1" x14ac:dyDescent="0.25">
      <c r="C131" s="797" t="s">
        <v>1281</v>
      </c>
      <c r="D131" s="798"/>
      <c r="E131" s="799"/>
      <c r="F131" s="799"/>
    </row>
    <row r="132" spans="3:6" ht="15" customHeight="1" x14ac:dyDescent="0.25">
      <c r="C132" s="797" t="s">
        <v>1282</v>
      </c>
      <c r="D132" s="798"/>
      <c r="E132" s="799"/>
      <c r="F132" s="799"/>
    </row>
    <row r="133" spans="3:6" ht="15" customHeight="1" x14ac:dyDescent="0.25">
      <c r="C133" s="797" t="s">
        <v>1283</v>
      </c>
      <c r="D133" s="806"/>
      <c r="E133" s="806"/>
      <c r="F133" s="806"/>
    </row>
    <row r="134" spans="3:6" ht="15" customHeight="1" x14ac:dyDescent="0.25">
      <c r="C134" s="797" t="s">
        <v>1284</v>
      </c>
      <c r="D134" s="798"/>
      <c r="E134" s="799"/>
      <c r="F134" s="799"/>
    </row>
    <row r="135" spans="3:6" ht="15" customHeight="1" x14ac:dyDescent="0.25">
      <c r="C135" s="797" t="s">
        <v>1270</v>
      </c>
      <c r="D135" s="798"/>
      <c r="E135" s="799"/>
      <c r="F135" s="799"/>
    </row>
    <row r="136" spans="3:6" ht="15" x14ac:dyDescent="0.25">
      <c r="C136" s="797" t="s">
        <v>1300</v>
      </c>
      <c r="D136" s="799"/>
      <c r="E136" s="799"/>
      <c r="F136" s="799"/>
    </row>
    <row r="137" spans="3:6" ht="15" customHeight="1" x14ac:dyDescent="0.25">
      <c r="C137" s="797" t="s">
        <v>1278</v>
      </c>
      <c r="D137" s="799"/>
      <c r="E137" s="799"/>
      <c r="F137" s="799"/>
    </row>
    <row r="138" spans="3:6" ht="15" customHeight="1" x14ac:dyDescent="0.25">
      <c r="C138" s="797" t="s">
        <v>1289</v>
      </c>
      <c r="D138" s="799"/>
      <c r="E138" s="799"/>
      <c r="F138" s="799"/>
    </row>
    <row r="139" spans="3:6" ht="15" x14ac:dyDescent="0.25">
      <c r="C139" s="797" t="s">
        <v>1290</v>
      </c>
      <c r="D139" s="799"/>
      <c r="E139" s="799"/>
      <c r="F139" s="799"/>
    </row>
    <row r="140" spans="3:6" ht="15" customHeight="1" x14ac:dyDescent="0.25">
      <c r="C140" s="797" t="s">
        <v>1285</v>
      </c>
      <c r="D140" s="799"/>
      <c r="E140" s="799"/>
      <c r="F140" s="799"/>
    </row>
    <row r="141" spans="3:6" ht="15" x14ac:dyDescent="0.25">
      <c r="C141" s="797" t="s">
        <v>1279</v>
      </c>
      <c r="D141" s="799"/>
      <c r="E141" s="799"/>
      <c r="F141" s="799"/>
    </row>
    <row r="142" spans="3:6" ht="15" customHeight="1" x14ac:dyDescent="0.25">
      <c r="C142" s="797" t="s">
        <v>1301</v>
      </c>
      <c r="D142" s="799"/>
      <c r="E142" s="799"/>
      <c r="F142" s="799"/>
    </row>
    <row r="143" spans="3:6" ht="15" customHeight="1" x14ac:dyDescent="0.25">
      <c r="C143" s="797" t="s">
        <v>1280</v>
      </c>
      <c r="D143" s="799"/>
      <c r="E143" s="799"/>
      <c r="F143" s="799"/>
    </row>
    <row r="144" spans="3:6" ht="15" customHeight="1" x14ac:dyDescent="0.25">
      <c r="C144" s="797" t="s">
        <v>1292</v>
      </c>
      <c r="D144" s="799"/>
      <c r="E144" s="799"/>
      <c r="F144" s="799"/>
    </row>
    <row r="145" spans="3:6" ht="14.25" customHeight="1" x14ac:dyDescent="0.25">
      <c r="C145" s="797" t="s">
        <v>1271</v>
      </c>
      <c r="D145" s="806"/>
      <c r="E145" s="806"/>
      <c r="F145" s="806"/>
    </row>
    <row r="146" spans="3:6" ht="15" customHeight="1" x14ac:dyDescent="0.2">
      <c r="C146" s="802" t="s">
        <v>1272</v>
      </c>
      <c r="D146" s="802"/>
      <c r="E146" s="802"/>
      <c r="F146" s="802"/>
    </row>
    <row r="147" spans="3:6" ht="15" customHeight="1" x14ac:dyDescent="0.25">
      <c r="C147" s="802" t="s">
        <v>1273</v>
      </c>
      <c r="D147" s="805"/>
      <c r="E147" s="805"/>
      <c r="F147" s="805"/>
    </row>
    <row r="148" spans="3:6" ht="15" customHeight="1" x14ac:dyDescent="0.25">
      <c r="C148" s="802" t="s">
        <v>1287</v>
      </c>
      <c r="D148" s="803"/>
      <c r="E148" s="804"/>
      <c r="F148" s="804"/>
    </row>
    <row r="149" spans="3:6" ht="15" customHeight="1" x14ac:dyDescent="0.25">
      <c r="C149" s="802" t="s">
        <v>1288</v>
      </c>
      <c r="D149" s="803"/>
      <c r="E149" s="804"/>
      <c r="F149" s="804"/>
    </row>
    <row r="150" spans="3:6" ht="15" customHeight="1" x14ac:dyDescent="0.25">
      <c r="C150" s="802" t="s">
        <v>1286</v>
      </c>
      <c r="D150" s="799"/>
      <c r="E150" s="799"/>
      <c r="F150" s="799"/>
    </row>
    <row r="151" spans="3:6" ht="15" customHeight="1" x14ac:dyDescent="0.25">
      <c r="C151" s="802" t="s">
        <v>1274</v>
      </c>
      <c r="D151" s="804"/>
      <c r="E151" s="804"/>
      <c r="F151" s="804"/>
    </row>
    <row r="152" spans="3:6" ht="15" x14ac:dyDescent="0.25">
      <c r="C152" s="802" t="s">
        <v>1291</v>
      </c>
      <c r="D152" s="803"/>
      <c r="E152" s="804"/>
      <c r="F152" s="804"/>
    </row>
  </sheetData>
  <mergeCells count="25">
    <mergeCell ref="C101:C102"/>
    <mergeCell ref="B20:B21"/>
    <mergeCell ref="C130:D130"/>
    <mergeCell ref="C131:F131"/>
    <mergeCell ref="C132:F132"/>
    <mergeCell ref="C133:F133"/>
    <mergeCell ref="C134:F134"/>
    <mergeCell ref="C135:F135"/>
    <mergeCell ref="C144:F144"/>
    <mergeCell ref="C145:F145"/>
    <mergeCell ref="C137:F137"/>
    <mergeCell ref="C143:F143"/>
    <mergeCell ref="C140:F140"/>
    <mergeCell ref="C141:F141"/>
    <mergeCell ref="C142:F142"/>
    <mergeCell ref="C136:F136"/>
    <mergeCell ref="C138:F138"/>
    <mergeCell ref="C139:F139"/>
    <mergeCell ref="C152:F152"/>
    <mergeCell ref="C151:F151"/>
    <mergeCell ref="C146:F146"/>
    <mergeCell ref="C147:F147"/>
    <mergeCell ref="C148:F148"/>
    <mergeCell ref="C149:F149"/>
    <mergeCell ref="C150:F150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865948-CC01-4259-B49D-125B76F81272}">
  <dimension ref="B3:I48"/>
  <sheetViews>
    <sheetView showGridLines="0" topLeftCell="A2" zoomScale="75" zoomScaleNormal="75" workbookViewId="0">
      <selection activeCell="D4" sqref="D4:D5"/>
    </sheetView>
  </sheetViews>
  <sheetFormatPr baseColWidth="10" defaultRowHeight="15" x14ac:dyDescent="0.25"/>
  <cols>
    <col min="2" max="3" width="13.42578125" customWidth="1"/>
    <col min="4" max="4" width="12.85546875" customWidth="1"/>
    <col min="5" max="5" width="14.140625" style="14" customWidth="1"/>
    <col min="7" max="8" width="13" customWidth="1"/>
    <col min="9" max="9" width="13.28515625" customWidth="1"/>
  </cols>
  <sheetData>
    <row r="3" spans="2:9" ht="28.5" customHeight="1" x14ac:dyDescent="0.25">
      <c r="B3" s="376" t="s">
        <v>977</v>
      </c>
      <c r="C3" s="376" t="s">
        <v>978</v>
      </c>
      <c r="D3" s="376" t="s">
        <v>979</v>
      </c>
      <c r="E3" s="376" t="s">
        <v>980</v>
      </c>
      <c r="F3" s="376" t="s">
        <v>981</v>
      </c>
      <c r="G3" s="820" t="s">
        <v>982</v>
      </c>
      <c r="H3" s="821"/>
      <c r="I3" s="822"/>
    </row>
    <row r="4" spans="2:9" x14ac:dyDescent="0.25">
      <c r="B4" s="823" t="s">
        <v>930</v>
      </c>
      <c r="C4" s="823" t="s">
        <v>176</v>
      </c>
      <c r="D4" s="823" t="s">
        <v>1260</v>
      </c>
      <c r="E4" s="823" t="s">
        <v>983</v>
      </c>
      <c r="F4" s="823" t="s">
        <v>150</v>
      </c>
      <c r="G4" s="820" t="s">
        <v>984</v>
      </c>
      <c r="H4" s="825"/>
      <c r="I4" s="822"/>
    </row>
    <row r="5" spans="2:9" x14ac:dyDescent="0.25">
      <c r="B5" s="824"/>
      <c r="C5" s="824"/>
      <c r="D5" s="824"/>
      <c r="E5" s="824"/>
      <c r="F5" s="824"/>
      <c r="G5" s="520">
        <v>0</v>
      </c>
      <c r="H5" s="520">
        <v>5</v>
      </c>
      <c r="I5" s="520">
        <v>10</v>
      </c>
    </row>
    <row r="6" spans="2:9" x14ac:dyDescent="0.25">
      <c r="B6" s="377">
        <v>0</v>
      </c>
      <c r="C6" s="378">
        <v>999.82</v>
      </c>
      <c r="D6" s="379">
        <v>1.792E-3</v>
      </c>
      <c r="E6" s="380">
        <f>D6/C6</f>
        <v>1.7923226180712527E-6</v>
      </c>
      <c r="F6" s="378">
        <v>0.61099999999999999</v>
      </c>
      <c r="G6" s="378">
        <v>14.6</v>
      </c>
      <c r="H6" s="378">
        <v>14.11</v>
      </c>
      <c r="I6" s="378">
        <v>13.64</v>
      </c>
    </row>
    <row r="7" spans="2:9" x14ac:dyDescent="0.25">
      <c r="B7" s="377">
        <f>B6+1</f>
        <v>1</v>
      </c>
      <c r="C7" s="378">
        <v>999.89</v>
      </c>
      <c r="D7" s="379">
        <v>1.7309999999999999E-3</v>
      </c>
      <c r="E7" s="380">
        <f t="shared" ref="E7:E46" si="0">D7/C7</f>
        <v>1.7311904309474041E-6</v>
      </c>
      <c r="F7" s="378">
        <v>0.65700000000000003</v>
      </c>
      <c r="G7" s="378">
        <v>14.2</v>
      </c>
      <c r="H7" s="378">
        <v>13.73</v>
      </c>
      <c r="I7" s="378">
        <v>13.27</v>
      </c>
    </row>
    <row r="8" spans="2:9" x14ac:dyDescent="0.25">
      <c r="B8" s="377">
        <f t="shared" ref="B8:B46" si="1">B7+1</f>
        <v>2</v>
      </c>
      <c r="C8" s="378">
        <v>999.94</v>
      </c>
      <c r="D8" s="379">
        <v>1.6739999999999999E-3</v>
      </c>
      <c r="E8" s="380">
        <f t="shared" si="0"/>
        <v>1.6741004460267615E-6</v>
      </c>
      <c r="F8" s="378">
        <v>0.70499999999999996</v>
      </c>
      <c r="G8" s="378">
        <v>13.81</v>
      </c>
      <c r="H8" s="378">
        <v>13.36</v>
      </c>
      <c r="I8" s="378">
        <v>12.91</v>
      </c>
    </row>
    <row r="9" spans="2:9" x14ac:dyDescent="0.25">
      <c r="B9" s="377">
        <f t="shared" si="1"/>
        <v>3</v>
      </c>
      <c r="C9" s="378">
        <v>999.98</v>
      </c>
      <c r="D9" s="379">
        <v>1.6199999999999999E-3</v>
      </c>
      <c r="E9" s="380">
        <f t="shared" si="0"/>
        <v>1.6200324006480128E-6</v>
      </c>
      <c r="F9" s="378">
        <v>0.75700000000000001</v>
      </c>
      <c r="G9" s="378">
        <v>13.45</v>
      </c>
      <c r="H9" s="378">
        <v>13</v>
      </c>
      <c r="I9" s="378">
        <v>12.58</v>
      </c>
    </row>
    <row r="10" spans="2:9" x14ac:dyDescent="0.25">
      <c r="B10" s="377">
        <f t="shared" si="1"/>
        <v>4</v>
      </c>
      <c r="C10" s="378">
        <v>1000</v>
      </c>
      <c r="D10" s="379">
        <v>1.5690000000000001E-3</v>
      </c>
      <c r="E10" s="380">
        <f t="shared" si="0"/>
        <v>1.5690000000000001E-6</v>
      </c>
      <c r="F10" s="378">
        <v>0.81299999999999994</v>
      </c>
      <c r="G10" s="378">
        <v>13.09</v>
      </c>
      <c r="H10" s="378">
        <v>12.67</v>
      </c>
      <c r="I10" s="378">
        <v>12.25</v>
      </c>
    </row>
    <row r="11" spans="2:9" x14ac:dyDescent="0.25">
      <c r="B11" s="377">
        <f t="shared" si="1"/>
        <v>5</v>
      </c>
      <c r="C11" s="378">
        <v>1000</v>
      </c>
      <c r="D11" s="379">
        <v>1.5200000000000001E-3</v>
      </c>
      <c r="E11" s="380">
        <f t="shared" si="0"/>
        <v>1.5200000000000001E-6</v>
      </c>
      <c r="F11" s="378">
        <v>0.872</v>
      </c>
      <c r="G11" s="378">
        <v>12.76</v>
      </c>
      <c r="H11" s="378">
        <v>12.34</v>
      </c>
      <c r="I11" s="378">
        <v>11.94</v>
      </c>
    </row>
    <row r="12" spans="2:9" x14ac:dyDescent="0.25">
      <c r="B12" s="377">
        <f t="shared" si="1"/>
        <v>6</v>
      </c>
      <c r="C12" s="378">
        <v>999.99</v>
      </c>
      <c r="D12" s="379">
        <v>1.4729999999999999E-3</v>
      </c>
      <c r="E12" s="380">
        <f t="shared" si="0"/>
        <v>1.4730147301473013E-6</v>
      </c>
      <c r="F12" s="378">
        <v>0.93500000000000005</v>
      </c>
      <c r="G12" s="378">
        <v>12.44</v>
      </c>
      <c r="H12" s="378">
        <v>12.04</v>
      </c>
      <c r="I12" s="378">
        <v>11.65</v>
      </c>
    </row>
    <row r="13" spans="2:9" x14ac:dyDescent="0.25">
      <c r="B13" s="377">
        <f t="shared" si="1"/>
        <v>7</v>
      </c>
      <c r="C13" s="378">
        <v>999.96</v>
      </c>
      <c r="D13" s="379">
        <v>1.4289999999999999E-3</v>
      </c>
      <c r="E13" s="380">
        <f t="shared" si="0"/>
        <v>1.4290571622864914E-6</v>
      </c>
      <c r="F13" s="378">
        <v>1.0009999999999999</v>
      </c>
      <c r="G13" s="378">
        <v>12.13</v>
      </c>
      <c r="H13" s="378">
        <v>11.74</v>
      </c>
      <c r="I13" s="378">
        <v>11.37</v>
      </c>
    </row>
    <row r="14" spans="2:9" x14ac:dyDescent="0.25">
      <c r="B14" s="377">
        <f t="shared" si="1"/>
        <v>8</v>
      </c>
      <c r="C14" s="378">
        <v>999.91</v>
      </c>
      <c r="D14" s="379">
        <v>1.3860000000000001E-3</v>
      </c>
      <c r="E14" s="380">
        <f t="shared" si="0"/>
        <v>1.3861247512276105E-6</v>
      </c>
      <c r="F14" s="378">
        <v>1.0720000000000001</v>
      </c>
      <c r="G14" s="378">
        <v>11.83</v>
      </c>
      <c r="H14" s="378">
        <v>11.46</v>
      </c>
      <c r="I14" s="378">
        <v>11.09</v>
      </c>
    </row>
    <row r="15" spans="2:9" x14ac:dyDescent="0.25">
      <c r="B15" s="377">
        <f t="shared" si="1"/>
        <v>9</v>
      </c>
      <c r="C15" s="378">
        <v>999.85</v>
      </c>
      <c r="D15" s="379">
        <v>1.346E-3</v>
      </c>
      <c r="E15" s="380">
        <f t="shared" si="0"/>
        <v>1.3462019302895433E-6</v>
      </c>
      <c r="F15" s="378">
        <v>1.147</v>
      </c>
      <c r="G15" s="378">
        <v>11.55</v>
      </c>
      <c r="H15" s="378">
        <v>11.19</v>
      </c>
      <c r="I15" s="378">
        <v>10.83</v>
      </c>
    </row>
    <row r="16" spans="2:9" x14ac:dyDescent="0.25">
      <c r="B16" s="377">
        <f t="shared" si="1"/>
        <v>10</v>
      </c>
      <c r="C16" s="378">
        <v>999.77</v>
      </c>
      <c r="D16" s="379">
        <v>1.3079999999999999E-3</v>
      </c>
      <c r="E16" s="380">
        <f t="shared" si="0"/>
        <v>1.3083009092091181E-6</v>
      </c>
      <c r="F16" s="378">
        <v>1.2270000000000001</v>
      </c>
      <c r="G16" s="378">
        <v>11.28</v>
      </c>
      <c r="H16" s="378">
        <v>10.92</v>
      </c>
      <c r="I16" s="378">
        <v>10.58</v>
      </c>
    </row>
    <row r="17" spans="2:9" x14ac:dyDescent="0.25">
      <c r="B17" s="377">
        <f t="shared" si="1"/>
        <v>11</v>
      </c>
      <c r="C17" s="378">
        <v>999.68</v>
      </c>
      <c r="D17" s="379">
        <v>1.271E-3</v>
      </c>
      <c r="E17" s="380">
        <f t="shared" si="0"/>
        <v>1.2714068501920614E-6</v>
      </c>
      <c r="F17" s="378">
        <v>1.3120000000000001</v>
      </c>
      <c r="G17" s="378">
        <v>11.02</v>
      </c>
      <c r="H17" s="378">
        <v>10.67</v>
      </c>
      <c r="I17" s="378">
        <v>10.34</v>
      </c>
    </row>
    <row r="18" spans="2:9" x14ac:dyDescent="0.25">
      <c r="B18" s="377">
        <f t="shared" si="1"/>
        <v>12</v>
      </c>
      <c r="C18" s="378">
        <v>999.58</v>
      </c>
      <c r="D18" s="379">
        <v>1.2359999999999999E-3</v>
      </c>
      <c r="E18" s="380">
        <f t="shared" si="0"/>
        <v>1.2365193381220111E-6</v>
      </c>
      <c r="F18" s="378">
        <v>1.4019999999999999</v>
      </c>
      <c r="G18" s="378">
        <v>10.77</v>
      </c>
      <c r="H18" s="378">
        <v>10.43</v>
      </c>
      <c r="I18" s="378">
        <v>10.11</v>
      </c>
    </row>
    <row r="19" spans="2:9" x14ac:dyDescent="0.25">
      <c r="B19" s="377">
        <f t="shared" si="1"/>
        <v>13</v>
      </c>
      <c r="C19" s="378">
        <v>999.46</v>
      </c>
      <c r="D19" s="379">
        <v>1.2019999999999999E-3</v>
      </c>
      <c r="E19" s="380">
        <f t="shared" si="0"/>
        <v>1.2026494306925738E-6</v>
      </c>
      <c r="F19" s="378">
        <v>1.4970000000000001</v>
      </c>
      <c r="G19" s="378">
        <v>10.53</v>
      </c>
      <c r="H19" s="378">
        <v>10.199999999999999</v>
      </c>
      <c r="I19" s="378">
        <v>9.89</v>
      </c>
    </row>
    <row r="20" spans="2:9" x14ac:dyDescent="0.25">
      <c r="B20" s="377">
        <f t="shared" si="1"/>
        <v>14</v>
      </c>
      <c r="C20" s="378">
        <v>999.33</v>
      </c>
      <c r="D20" s="379">
        <v>1.17E-3</v>
      </c>
      <c r="E20" s="380">
        <f t="shared" si="0"/>
        <v>1.1707844255651285E-6</v>
      </c>
      <c r="F20" s="378">
        <v>1.597</v>
      </c>
      <c r="G20" s="378">
        <v>10.29</v>
      </c>
      <c r="H20" s="378">
        <v>9.98</v>
      </c>
      <c r="I20" s="378">
        <v>9.68</v>
      </c>
    </row>
    <row r="21" spans="2:9" x14ac:dyDescent="0.25">
      <c r="B21" s="377">
        <f t="shared" si="1"/>
        <v>15</v>
      </c>
      <c r="C21" s="378">
        <v>999.19</v>
      </c>
      <c r="D21" s="379">
        <v>1.139E-3</v>
      </c>
      <c r="E21" s="380">
        <f t="shared" si="0"/>
        <v>1.1399233379037019E-6</v>
      </c>
      <c r="F21" s="378">
        <v>1.704</v>
      </c>
      <c r="G21" s="378">
        <v>10.07</v>
      </c>
      <c r="H21" s="378">
        <v>9.77</v>
      </c>
      <c r="I21" s="378">
        <v>9.4700000000000006</v>
      </c>
    </row>
    <row r="22" spans="2:9" x14ac:dyDescent="0.25">
      <c r="B22" s="377">
        <f t="shared" si="1"/>
        <v>16</v>
      </c>
      <c r="C22" s="378">
        <v>999.03</v>
      </c>
      <c r="D22" s="379">
        <v>1.109E-3</v>
      </c>
      <c r="E22" s="380">
        <f t="shared" si="0"/>
        <v>1.110076774471237E-6</v>
      </c>
      <c r="F22" s="378">
        <v>1.8169999999999999</v>
      </c>
      <c r="G22" s="378">
        <v>9.86</v>
      </c>
      <c r="H22" s="378">
        <v>9.56</v>
      </c>
      <c r="I22" s="378">
        <v>9.2799999999999994</v>
      </c>
    </row>
    <row r="23" spans="2:9" x14ac:dyDescent="0.25">
      <c r="B23" s="377">
        <f t="shared" si="1"/>
        <v>17</v>
      </c>
      <c r="C23" s="378">
        <v>998.86</v>
      </c>
      <c r="D23" s="379">
        <v>1.0809999999999999E-3</v>
      </c>
      <c r="E23" s="380">
        <f t="shared" si="0"/>
        <v>1.0822337464709768E-6</v>
      </c>
      <c r="F23" s="378">
        <v>1.9359999999999999</v>
      </c>
      <c r="G23" s="378">
        <v>9.65</v>
      </c>
      <c r="H23" s="378">
        <v>9.36</v>
      </c>
      <c r="I23" s="378">
        <v>9.09</v>
      </c>
    </row>
    <row r="24" spans="2:9" x14ac:dyDescent="0.25">
      <c r="B24" s="377">
        <f t="shared" si="1"/>
        <v>18</v>
      </c>
      <c r="C24" s="378">
        <v>998.68</v>
      </c>
      <c r="D24" s="379">
        <v>1.054E-3</v>
      </c>
      <c r="E24" s="380">
        <f t="shared" si="0"/>
        <v>1.0553931189169705E-6</v>
      </c>
      <c r="F24" s="378">
        <v>2.0630000000000002</v>
      </c>
      <c r="G24" s="378">
        <v>9.4499999999999993</v>
      </c>
      <c r="H24" s="378">
        <v>9.17</v>
      </c>
      <c r="I24" s="378">
        <v>8.9</v>
      </c>
    </row>
    <row r="25" spans="2:9" x14ac:dyDescent="0.25">
      <c r="B25" s="377">
        <f t="shared" si="1"/>
        <v>19</v>
      </c>
      <c r="C25" s="378">
        <v>998.49</v>
      </c>
      <c r="D25" s="379">
        <v>1.0280000000000001E-3</v>
      </c>
      <c r="E25" s="380">
        <f t="shared" si="0"/>
        <v>1.0295546274875061E-6</v>
      </c>
      <c r="F25" s="378">
        <v>2.1960000000000002</v>
      </c>
      <c r="G25" s="378">
        <v>9.26</v>
      </c>
      <c r="H25" s="378">
        <v>8.99</v>
      </c>
      <c r="I25" s="378">
        <v>8.73</v>
      </c>
    </row>
    <row r="26" spans="2:9" x14ac:dyDescent="0.25">
      <c r="B26" s="377">
        <f t="shared" si="1"/>
        <v>20</v>
      </c>
      <c r="C26" s="378">
        <v>998.29</v>
      </c>
      <c r="D26" s="379">
        <v>1.003E-3</v>
      </c>
      <c r="E26" s="380">
        <f t="shared" si="0"/>
        <v>1.0047180678961023E-6</v>
      </c>
      <c r="F26" s="378">
        <v>2.3370000000000002</v>
      </c>
      <c r="G26" s="378">
        <v>9.08</v>
      </c>
      <c r="H26" s="378">
        <v>8.81</v>
      </c>
      <c r="I26" s="378">
        <v>8.56</v>
      </c>
    </row>
    <row r="27" spans="2:9" x14ac:dyDescent="0.25">
      <c r="B27" s="377">
        <f t="shared" si="1"/>
        <v>21</v>
      </c>
      <c r="C27" s="378">
        <v>998.08</v>
      </c>
      <c r="D27" s="379">
        <v>9.7900000000000005E-4</v>
      </c>
      <c r="E27" s="380">
        <f t="shared" si="0"/>
        <v>9.8088329592818217E-7</v>
      </c>
      <c r="F27" s="378">
        <v>2.4860000000000002</v>
      </c>
      <c r="G27" s="378">
        <v>8.9</v>
      </c>
      <c r="H27" s="378">
        <v>8.64</v>
      </c>
      <c r="I27" s="378">
        <v>8.39</v>
      </c>
    </row>
    <row r="28" spans="2:9" x14ac:dyDescent="0.25">
      <c r="B28" s="377">
        <f t="shared" si="1"/>
        <v>22</v>
      </c>
      <c r="C28" s="378">
        <v>997.86</v>
      </c>
      <c r="D28" s="379">
        <v>9.5500000000000001E-4</v>
      </c>
      <c r="E28" s="380">
        <f t="shared" si="0"/>
        <v>9.5704808289740053E-7</v>
      </c>
      <c r="F28" s="378">
        <v>2.6419999999999999</v>
      </c>
      <c r="G28" s="378">
        <v>8.73</v>
      </c>
      <c r="H28" s="378">
        <v>8.48</v>
      </c>
      <c r="I28" s="378">
        <v>8.23</v>
      </c>
    </row>
    <row r="29" spans="2:9" x14ac:dyDescent="0.25">
      <c r="B29" s="377">
        <f t="shared" si="1"/>
        <v>23</v>
      </c>
      <c r="C29" s="378">
        <v>997.62</v>
      </c>
      <c r="D29" s="379">
        <v>9.3300000000000002E-4</v>
      </c>
      <c r="E29" s="380">
        <f t="shared" si="0"/>
        <v>9.3522583749323393E-7</v>
      </c>
      <c r="F29" s="378">
        <v>2.8079999999999998</v>
      </c>
      <c r="G29" s="378">
        <v>8.56</v>
      </c>
      <c r="H29" s="378">
        <v>8.32</v>
      </c>
      <c r="I29" s="378">
        <v>8.08</v>
      </c>
    </row>
    <row r="30" spans="2:9" x14ac:dyDescent="0.25">
      <c r="B30" s="377">
        <f t="shared" si="1"/>
        <v>24</v>
      </c>
      <c r="C30" s="378">
        <v>997.38</v>
      </c>
      <c r="D30" s="379">
        <v>9.1100000000000003E-4</v>
      </c>
      <c r="E30" s="380">
        <f t="shared" si="0"/>
        <v>9.1339308989552636E-7</v>
      </c>
      <c r="F30" s="378">
        <v>2.9820000000000002</v>
      </c>
      <c r="G30" s="378">
        <v>8.4</v>
      </c>
      <c r="H30" s="378">
        <v>8.16</v>
      </c>
      <c r="I30" s="378">
        <v>7.93</v>
      </c>
    </row>
    <row r="31" spans="2:9" x14ac:dyDescent="0.25">
      <c r="B31" s="377">
        <f t="shared" si="1"/>
        <v>25</v>
      </c>
      <c r="C31" s="378">
        <v>997.13</v>
      </c>
      <c r="D31" s="379">
        <v>8.9099999999999997E-4</v>
      </c>
      <c r="E31" s="380">
        <f t="shared" si="0"/>
        <v>8.9356453020167885E-7</v>
      </c>
      <c r="F31" s="378">
        <v>3.1659999999999999</v>
      </c>
      <c r="G31" s="378">
        <v>8.24</v>
      </c>
      <c r="H31" s="378">
        <v>8.01</v>
      </c>
      <c r="I31" s="378">
        <v>7.79</v>
      </c>
    </row>
    <row r="32" spans="2:9" x14ac:dyDescent="0.25">
      <c r="B32" s="377">
        <f t="shared" si="1"/>
        <v>26</v>
      </c>
      <c r="C32" s="378">
        <v>996.86</v>
      </c>
      <c r="D32" s="379">
        <v>8.7100000000000003E-4</v>
      </c>
      <c r="E32" s="380">
        <f t="shared" si="0"/>
        <v>8.7374355476195253E-7</v>
      </c>
      <c r="F32" s="378">
        <v>3.36</v>
      </c>
      <c r="G32" s="378">
        <v>8.09</v>
      </c>
      <c r="H32" s="378">
        <v>7.87</v>
      </c>
      <c r="I32" s="378">
        <v>7.65</v>
      </c>
    </row>
    <row r="33" spans="2:9" x14ac:dyDescent="0.25">
      <c r="B33" s="377">
        <f t="shared" si="1"/>
        <v>27</v>
      </c>
      <c r="C33" s="378">
        <v>996.59</v>
      </c>
      <c r="D33" s="379">
        <v>8.52E-4</v>
      </c>
      <c r="E33" s="380">
        <f t="shared" si="0"/>
        <v>8.5491526104014687E-7</v>
      </c>
      <c r="F33" s="378">
        <v>3.5640000000000001</v>
      </c>
      <c r="G33" s="378">
        <v>7.95</v>
      </c>
      <c r="H33" s="378">
        <v>7.73</v>
      </c>
      <c r="I33" s="378">
        <v>7.51</v>
      </c>
    </row>
    <row r="34" spans="2:9" x14ac:dyDescent="0.25">
      <c r="B34" s="377">
        <f t="shared" si="1"/>
        <v>28</v>
      </c>
      <c r="C34" s="378">
        <v>996.31</v>
      </c>
      <c r="D34" s="379">
        <v>8.3299999999999997E-4</v>
      </c>
      <c r="E34" s="380">
        <f t="shared" si="0"/>
        <v>8.3608515421906841E-7</v>
      </c>
      <c r="F34" s="378">
        <v>3.7789999999999999</v>
      </c>
      <c r="G34" s="378">
        <v>7.81</v>
      </c>
      <c r="H34" s="378">
        <v>7.59</v>
      </c>
      <c r="I34" s="378">
        <v>7.38</v>
      </c>
    </row>
    <row r="35" spans="2:9" x14ac:dyDescent="0.25">
      <c r="B35" s="377">
        <f t="shared" si="1"/>
        <v>29</v>
      </c>
      <c r="C35" s="378">
        <v>996.02</v>
      </c>
      <c r="D35" s="379">
        <v>8.1499999999999997E-4</v>
      </c>
      <c r="E35" s="380">
        <f t="shared" si="0"/>
        <v>8.1825666151282104E-7</v>
      </c>
      <c r="F35" s="378">
        <v>4.0039999999999996</v>
      </c>
      <c r="G35" s="378">
        <v>7.67</v>
      </c>
      <c r="H35" s="378">
        <v>7.46</v>
      </c>
      <c r="I35" s="378">
        <v>7.26</v>
      </c>
    </row>
    <row r="36" spans="2:9" x14ac:dyDescent="0.25">
      <c r="B36" s="377">
        <f t="shared" si="1"/>
        <v>30</v>
      </c>
      <c r="C36" s="378">
        <v>995.71</v>
      </c>
      <c r="D36" s="379">
        <v>7.9799999999999999E-4</v>
      </c>
      <c r="E36" s="380">
        <f t="shared" si="0"/>
        <v>8.0143816974821981E-7</v>
      </c>
      <c r="F36" s="378">
        <v>4.242</v>
      </c>
      <c r="G36" s="378">
        <v>7.54</v>
      </c>
      <c r="H36" s="378">
        <v>7.33</v>
      </c>
      <c r="I36" s="378">
        <v>7.14</v>
      </c>
    </row>
    <row r="37" spans="2:9" x14ac:dyDescent="0.25">
      <c r="B37" s="377">
        <f t="shared" si="1"/>
        <v>31</v>
      </c>
      <c r="C37" s="378">
        <v>995.41</v>
      </c>
      <c r="D37" s="379">
        <v>7.8100000000000001E-4</v>
      </c>
      <c r="E37" s="380">
        <f t="shared" si="0"/>
        <v>7.8460132005907112E-7</v>
      </c>
      <c r="F37" s="378">
        <v>4.4909999999999997</v>
      </c>
      <c r="G37" s="378">
        <v>7.41</v>
      </c>
      <c r="H37" s="378">
        <v>7.21</v>
      </c>
      <c r="I37" s="378">
        <v>7.02</v>
      </c>
    </row>
    <row r="38" spans="2:9" x14ac:dyDescent="0.25">
      <c r="B38" s="377">
        <f t="shared" si="1"/>
        <v>32</v>
      </c>
      <c r="C38" s="378">
        <v>995.09</v>
      </c>
      <c r="D38" s="379">
        <v>7.6499999999999995E-4</v>
      </c>
      <c r="E38" s="380">
        <f t="shared" si="0"/>
        <v>7.6877468369695196E-7</v>
      </c>
      <c r="F38" s="378">
        <v>4.7539999999999996</v>
      </c>
      <c r="G38" s="378">
        <v>7.29</v>
      </c>
      <c r="H38" s="378">
        <v>7.09</v>
      </c>
      <c r="I38" s="378">
        <v>6.9</v>
      </c>
    </row>
    <row r="39" spans="2:9" x14ac:dyDescent="0.25">
      <c r="B39" s="377">
        <f t="shared" si="1"/>
        <v>33</v>
      </c>
      <c r="C39" s="378">
        <v>994.76</v>
      </c>
      <c r="D39" s="379">
        <v>7.4899999999999999E-4</v>
      </c>
      <c r="E39" s="380">
        <f t="shared" si="0"/>
        <v>7.5294543407455063E-7</v>
      </c>
      <c r="F39" s="378">
        <v>5.0289999999999999</v>
      </c>
      <c r="G39" s="378">
        <v>7.17</v>
      </c>
      <c r="H39" s="378">
        <v>6.98</v>
      </c>
      <c r="I39" s="378">
        <v>6.79</v>
      </c>
    </row>
    <row r="40" spans="2:9" x14ac:dyDescent="0.25">
      <c r="B40" s="377">
        <f t="shared" si="1"/>
        <v>34</v>
      </c>
      <c r="C40" s="378">
        <v>994.43</v>
      </c>
      <c r="D40" s="379">
        <v>7.3399999999999995E-4</v>
      </c>
      <c r="E40" s="380">
        <f t="shared" si="0"/>
        <v>7.3811127982864557E-7</v>
      </c>
      <c r="F40" s="378">
        <v>5.3179999999999996</v>
      </c>
      <c r="G40" s="378">
        <v>7.05</v>
      </c>
      <c r="H40" s="378">
        <v>6.86</v>
      </c>
      <c r="I40" s="378">
        <v>6.68</v>
      </c>
    </row>
    <row r="41" spans="2:9" x14ac:dyDescent="0.25">
      <c r="B41" s="377">
        <f t="shared" si="1"/>
        <v>35</v>
      </c>
      <c r="C41" s="378">
        <v>994.08</v>
      </c>
      <c r="D41" s="379">
        <v>7.2000000000000005E-4</v>
      </c>
      <c r="E41" s="380">
        <f t="shared" si="0"/>
        <v>7.2428778367938198E-7</v>
      </c>
      <c r="F41" s="378">
        <v>5.6219999999999999</v>
      </c>
      <c r="G41" s="378">
        <v>6.93</v>
      </c>
      <c r="H41" s="378">
        <v>6.75</v>
      </c>
      <c r="I41" s="378">
        <v>6.58</v>
      </c>
    </row>
    <row r="42" spans="2:9" x14ac:dyDescent="0.25">
      <c r="B42" s="377">
        <f t="shared" si="1"/>
        <v>36</v>
      </c>
      <c r="C42" s="378">
        <v>993.73</v>
      </c>
      <c r="D42" s="379">
        <v>7.0500000000000001E-4</v>
      </c>
      <c r="E42" s="380">
        <f t="shared" si="0"/>
        <v>7.0944824046773266E-7</v>
      </c>
      <c r="F42" s="378">
        <v>5.94</v>
      </c>
      <c r="G42" s="378">
        <v>6.82</v>
      </c>
      <c r="H42" s="378">
        <v>6.65</v>
      </c>
      <c r="I42" s="378">
        <v>6.47</v>
      </c>
    </row>
    <row r="43" spans="2:9" x14ac:dyDescent="0.25">
      <c r="B43" s="377">
        <f t="shared" si="1"/>
        <v>37</v>
      </c>
      <c r="C43" s="378">
        <v>993.37</v>
      </c>
      <c r="D43" s="379">
        <v>6.9200000000000002E-4</v>
      </c>
      <c r="E43" s="380">
        <f t="shared" si="0"/>
        <v>6.9661858119331165E-7</v>
      </c>
      <c r="F43" s="378">
        <v>6.274</v>
      </c>
      <c r="G43" s="378">
        <v>6.72</v>
      </c>
      <c r="H43" s="378">
        <v>6.54</v>
      </c>
      <c r="I43" s="378">
        <v>6.37</v>
      </c>
    </row>
    <row r="44" spans="2:9" x14ac:dyDescent="0.25">
      <c r="B44" s="377">
        <f t="shared" si="1"/>
        <v>38</v>
      </c>
      <c r="C44" s="378">
        <v>993</v>
      </c>
      <c r="D44" s="379">
        <v>6.78E-4</v>
      </c>
      <c r="E44" s="380">
        <f t="shared" si="0"/>
        <v>6.8277945619335344E-7</v>
      </c>
      <c r="F44" s="378">
        <v>6.6239999999999997</v>
      </c>
      <c r="G44" s="378">
        <v>6.61</v>
      </c>
      <c r="H44" s="378">
        <v>6.44</v>
      </c>
      <c r="I44" s="378">
        <v>6.28</v>
      </c>
    </row>
    <row r="45" spans="2:9" x14ac:dyDescent="0.25">
      <c r="B45" s="377">
        <f t="shared" si="1"/>
        <v>39</v>
      </c>
      <c r="C45" s="378">
        <v>992.63</v>
      </c>
      <c r="D45" s="379">
        <v>6.6600000000000003E-4</v>
      </c>
      <c r="E45" s="380">
        <f t="shared" si="0"/>
        <v>6.709448636450642E-7</v>
      </c>
      <c r="F45" s="378">
        <v>6.9909999999999997</v>
      </c>
      <c r="G45" s="378">
        <v>6.51</v>
      </c>
      <c r="H45" s="378">
        <v>6.34</v>
      </c>
      <c r="I45" s="378">
        <v>6.18</v>
      </c>
    </row>
    <row r="46" spans="2:9" x14ac:dyDescent="0.25">
      <c r="B46" s="377">
        <f t="shared" si="1"/>
        <v>40</v>
      </c>
      <c r="C46" s="378">
        <v>992.25</v>
      </c>
      <c r="D46" s="379">
        <v>6.5300000000000004E-4</v>
      </c>
      <c r="E46" s="380">
        <f t="shared" si="0"/>
        <v>6.5810027714789624E-7</v>
      </c>
      <c r="F46" s="378">
        <v>7.375</v>
      </c>
      <c r="G46" s="378">
        <v>6.41</v>
      </c>
      <c r="H46" s="378">
        <v>6.25</v>
      </c>
      <c r="I46" s="378">
        <v>6.09</v>
      </c>
    </row>
    <row r="47" spans="2:9" ht="29.25" customHeight="1" x14ac:dyDescent="0.25">
      <c r="B47" s="811" t="s">
        <v>985</v>
      </c>
      <c r="C47" s="812"/>
      <c r="D47" s="812"/>
      <c r="E47" s="812"/>
      <c r="F47" s="813"/>
      <c r="G47" s="814" t="s">
        <v>986</v>
      </c>
      <c r="H47" s="815"/>
      <c r="I47" s="816"/>
    </row>
    <row r="48" spans="2:9" x14ac:dyDescent="0.25">
      <c r="B48" s="381" t="s">
        <v>987</v>
      </c>
      <c r="C48" s="19"/>
      <c r="D48" s="19"/>
      <c r="E48" s="289"/>
      <c r="F48" s="382"/>
      <c r="G48" s="817"/>
      <c r="H48" s="818"/>
      <c r="I48" s="819"/>
    </row>
  </sheetData>
  <mergeCells count="9">
    <mergeCell ref="B47:F47"/>
    <mergeCell ref="G47:I48"/>
    <mergeCell ref="G3:I3"/>
    <mergeCell ref="B4:B5"/>
    <mergeCell ref="C4:C5"/>
    <mergeCell ref="D4:D5"/>
    <mergeCell ref="E4:E5"/>
    <mergeCell ref="F4:F5"/>
    <mergeCell ref="G4:I4"/>
  </mergeCells>
  <hyperlinks>
    <hyperlink ref="B48" r:id="rId1" xr:uid="{7D82F618-9C4A-4D0C-8EF6-0B3EBEC76AFA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F27626-7F15-46C0-907D-78CD0E113307}">
  <dimension ref="A1:C10"/>
  <sheetViews>
    <sheetView showGridLines="0" topLeftCell="A2" zoomScale="75" zoomScaleNormal="75" workbookViewId="0">
      <selection activeCell="A11" sqref="A11"/>
    </sheetView>
  </sheetViews>
  <sheetFormatPr baseColWidth="10" defaultRowHeight="15" x14ac:dyDescent="0.25"/>
  <cols>
    <col min="1" max="1" width="17.28515625" customWidth="1"/>
    <col min="2" max="2" width="15" customWidth="1"/>
    <col min="3" max="3" width="20" customWidth="1"/>
  </cols>
  <sheetData>
    <row r="1" spans="1:3" ht="35.25" customHeight="1" x14ac:dyDescent="0.25">
      <c r="A1" s="826" t="s">
        <v>1081</v>
      </c>
      <c r="B1" s="827"/>
      <c r="C1" s="827"/>
    </row>
    <row r="2" spans="1:3" ht="42.75" x14ac:dyDescent="0.25">
      <c r="A2" s="489" t="s">
        <v>882</v>
      </c>
      <c r="B2" s="489" t="s">
        <v>1082</v>
      </c>
      <c r="C2" s="489" t="s">
        <v>1083</v>
      </c>
    </row>
    <row r="3" spans="1:3" ht="18.75" x14ac:dyDescent="0.25">
      <c r="A3" s="490" t="s">
        <v>95</v>
      </c>
      <c r="B3" s="490" t="s">
        <v>1084</v>
      </c>
      <c r="C3" s="490" t="s">
        <v>1085</v>
      </c>
    </row>
    <row r="4" spans="1:3" x14ac:dyDescent="0.25">
      <c r="A4" s="217">
        <v>1</v>
      </c>
      <c r="B4" s="239" t="s">
        <v>864</v>
      </c>
      <c r="C4" s="217">
        <v>1</v>
      </c>
    </row>
    <row r="5" spans="1:3" x14ac:dyDescent="0.25">
      <c r="A5" s="217">
        <v>2</v>
      </c>
      <c r="B5" s="217">
        <v>0.61</v>
      </c>
      <c r="C5" s="217">
        <v>1</v>
      </c>
    </row>
    <row r="6" spans="1:3" x14ac:dyDescent="0.25">
      <c r="A6" s="217">
        <v>3</v>
      </c>
      <c r="B6" s="217">
        <v>0.88</v>
      </c>
      <c r="C6" s="217">
        <v>1.6</v>
      </c>
    </row>
    <row r="7" spans="1:3" x14ac:dyDescent="0.25">
      <c r="A7" s="217">
        <v>4</v>
      </c>
      <c r="B7" s="217">
        <v>1.03</v>
      </c>
      <c r="C7" s="217">
        <v>2.2000000000000002</v>
      </c>
    </row>
    <row r="8" spans="1:3" x14ac:dyDescent="0.25">
      <c r="A8" s="217">
        <v>5</v>
      </c>
      <c r="B8" s="217">
        <v>1.23</v>
      </c>
      <c r="C8" s="217">
        <v>3</v>
      </c>
    </row>
    <row r="9" spans="1:3" x14ac:dyDescent="0.25">
      <c r="A9" s="217">
        <v>6</v>
      </c>
      <c r="B9" s="217">
        <v>1.41</v>
      </c>
      <c r="C9" s="217">
        <v>3.6</v>
      </c>
    </row>
    <row r="10" spans="1:3" ht="26.25" customHeight="1" x14ac:dyDescent="0.25">
      <c r="A10" s="828" t="s">
        <v>1262</v>
      </c>
      <c r="B10" s="829"/>
      <c r="C10" s="829"/>
    </row>
  </sheetData>
  <mergeCells count="2">
    <mergeCell ref="A1:C1"/>
    <mergeCell ref="A10:C10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0"/>
  <sheetViews>
    <sheetView showGridLines="0" topLeftCell="A3" zoomScale="75" zoomScaleNormal="75" workbookViewId="0">
      <selection activeCell="H4" sqref="H4"/>
    </sheetView>
  </sheetViews>
  <sheetFormatPr baseColWidth="10" defaultRowHeight="15" x14ac:dyDescent="0.25"/>
  <cols>
    <col min="1" max="1" width="36.28515625" customWidth="1"/>
    <col min="2" max="2" width="31.7109375" customWidth="1"/>
    <col min="3" max="3" width="12.28515625" customWidth="1"/>
    <col min="4" max="4" width="16.7109375" customWidth="1"/>
    <col min="5" max="5" width="12.42578125" customWidth="1"/>
    <col min="6" max="6" width="6.42578125" customWidth="1"/>
    <col min="7" max="7" width="11.85546875" customWidth="1"/>
    <col min="8" max="8" width="12.7109375" customWidth="1"/>
    <col min="9" max="9" width="24.28515625" customWidth="1"/>
    <col min="10" max="10" width="14.85546875" customWidth="1"/>
    <col min="11" max="11" width="7.28515625" customWidth="1"/>
    <col min="12" max="12" width="15" customWidth="1"/>
  </cols>
  <sheetData>
    <row r="1" spans="1:13" ht="33" customHeight="1" x14ac:dyDescent="0.25">
      <c r="A1" s="681" t="s">
        <v>948</v>
      </c>
      <c r="G1" s="651" t="s">
        <v>949</v>
      </c>
      <c r="H1" s="648" t="s">
        <v>950</v>
      </c>
    </row>
    <row r="2" spans="1:13" ht="32.25" customHeight="1" x14ac:dyDescent="0.25">
      <c r="B2" s="544" t="s">
        <v>1187</v>
      </c>
      <c r="C2" s="545"/>
      <c r="D2" s="546" t="s">
        <v>1186</v>
      </c>
      <c r="E2" s="713">
        <f>E3+E15+E25+E42</f>
        <v>0.31233259564639571</v>
      </c>
      <c r="F2" s="714" t="s">
        <v>85</v>
      </c>
      <c r="G2" s="696">
        <f>G3+G15+G25+G42</f>
        <v>0.31233259564639571</v>
      </c>
      <c r="H2" s="639">
        <f t="shared" ref="H2:H66" si="0">G2-E2</f>
        <v>0</v>
      </c>
    </row>
    <row r="3" spans="1:13" ht="26.25" customHeight="1" x14ac:dyDescent="0.25">
      <c r="B3" s="547" t="s">
        <v>1183</v>
      </c>
      <c r="C3" s="694" t="s">
        <v>1032</v>
      </c>
      <c r="D3" s="695"/>
      <c r="E3" s="696">
        <f>E9+SUM(E12:E14)</f>
        <v>0.16474314286533767</v>
      </c>
      <c r="F3" s="693" t="s">
        <v>85</v>
      </c>
      <c r="G3" s="696">
        <f>G9+SUM(G12:G14)</f>
        <v>0.16474314286533767</v>
      </c>
      <c r="H3" s="639">
        <f t="shared" si="0"/>
        <v>0</v>
      </c>
    </row>
    <row r="4" spans="1:13" ht="18.75" x14ac:dyDescent="0.35">
      <c r="A4" s="16"/>
      <c r="B4" s="306" t="s">
        <v>1033</v>
      </c>
      <c r="C4" s="548" t="s">
        <v>1034</v>
      </c>
      <c r="D4" s="548" t="s">
        <v>1035</v>
      </c>
      <c r="E4" s="697">
        <v>150</v>
      </c>
      <c r="F4" s="552"/>
      <c r="G4" s="697">
        <v>150</v>
      </c>
      <c r="H4" s="639">
        <f t="shared" si="0"/>
        <v>0</v>
      </c>
    </row>
    <row r="5" spans="1:13" x14ac:dyDescent="0.25">
      <c r="A5" s="16"/>
      <c r="B5" s="275" t="s">
        <v>1181</v>
      </c>
      <c r="C5" s="273"/>
      <c r="D5" s="18"/>
      <c r="E5" s="310">
        <f>E27*E28</f>
        <v>6.6917950841250011</v>
      </c>
      <c r="F5" s="369" t="s">
        <v>64</v>
      </c>
      <c r="G5" s="310">
        <f>G17</f>
        <v>6.6917950841250011</v>
      </c>
      <c r="H5" s="639">
        <f t="shared" si="0"/>
        <v>0</v>
      </c>
    </row>
    <row r="6" spans="1:13" x14ac:dyDescent="0.25">
      <c r="A6" s="16"/>
      <c r="B6" s="740" t="s">
        <v>875</v>
      </c>
      <c r="C6" s="741"/>
      <c r="D6" s="197"/>
      <c r="E6" s="742">
        <v>3</v>
      </c>
      <c r="F6" s="743" t="s">
        <v>252</v>
      </c>
      <c r="G6" s="276">
        <v>3</v>
      </c>
      <c r="H6" s="639">
        <f t="shared" si="0"/>
        <v>0</v>
      </c>
    </row>
    <row r="7" spans="1:13" x14ac:dyDescent="0.25">
      <c r="A7" s="16"/>
      <c r="B7" s="744" t="s">
        <v>1037</v>
      </c>
      <c r="C7" s="741"/>
      <c r="D7" s="197"/>
      <c r="E7" s="742">
        <v>4</v>
      </c>
      <c r="F7" s="745" t="s">
        <v>129</v>
      </c>
      <c r="G7" s="276">
        <v>4</v>
      </c>
      <c r="H7" s="639">
        <f t="shared" si="0"/>
        <v>0</v>
      </c>
    </row>
    <row r="8" spans="1:13" x14ac:dyDescent="0.25">
      <c r="A8" s="16"/>
      <c r="B8" s="541" t="s">
        <v>1038</v>
      </c>
      <c r="C8" s="315"/>
      <c r="D8" s="18"/>
      <c r="E8" s="278">
        <f>0.001*E5/(0.25*3.14*(0.0254*E7)^2)</f>
        <v>0.82582031250000021</v>
      </c>
      <c r="F8" s="313" t="s">
        <v>131</v>
      </c>
      <c r="G8" s="278">
        <f>0.001*G5/(0.25*3.14*(0.0254*G7)^2)</f>
        <v>0.82582031250000021</v>
      </c>
      <c r="H8" s="639">
        <f t="shared" si="0"/>
        <v>0</v>
      </c>
    </row>
    <row r="9" spans="1:13" x14ac:dyDescent="0.25">
      <c r="A9" s="568" t="s">
        <v>1211</v>
      </c>
      <c r="B9" s="542" t="s">
        <v>851</v>
      </c>
      <c r="C9" s="543"/>
      <c r="D9" s="18"/>
      <c r="E9" s="216">
        <f>(10.672*E6*(0.001*E5/E4)^1.852)/(0.0254*E7)^4.871</f>
        <v>1.9300642452727498E-2</v>
      </c>
      <c r="F9" s="191" t="s">
        <v>85</v>
      </c>
      <c r="G9" s="216">
        <f>(10.672*G6*(0.001*G5/G4)^1.852)/(0.0254*G7)^4.871</f>
        <v>1.9300642452727498E-2</v>
      </c>
      <c r="H9" s="639">
        <f t="shared" si="0"/>
        <v>0</v>
      </c>
      <c r="J9" s="193"/>
      <c r="K9" s="193"/>
      <c r="L9" s="463"/>
    </row>
    <row r="10" spans="1:13" x14ac:dyDescent="0.25">
      <c r="A10" s="16"/>
      <c r="B10" s="541" t="s">
        <v>866</v>
      </c>
      <c r="C10" s="315"/>
      <c r="E10" s="278">
        <f>E8^2/19.6</f>
        <v>3.479485655804071E-2</v>
      </c>
      <c r="F10" s="313" t="s">
        <v>85</v>
      </c>
      <c r="G10" s="278">
        <f>G8^2/19.6</f>
        <v>3.479485655804071E-2</v>
      </c>
      <c r="H10" s="639">
        <f t="shared" si="0"/>
        <v>0</v>
      </c>
      <c r="J10" s="193"/>
      <c r="K10" s="193"/>
      <c r="L10" s="464"/>
      <c r="M10" s="465"/>
    </row>
    <row r="11" spans="1:13" x14ac:dyDescent="0.25">
      <c r="A11" s="16"/>
      <c r="B11" s="549" t="s">
        <v>867</v>
      </c>
      <c r="C11" s="152" t="s">
        <v>1007</v>
      </c>
      <c r="D11" s="152" t="s">
        <v>1039</v>
      </c>
      <c r="E11" s="692" t="s">
        <v>1277</v>
      </c>
      <c r="F11" s="313"/>
      <c r="G11" s="692" t="s">
        <v>1277</v>
      </c>
      <c r="H11" s="639"/>
      <c r="J11" s="193"/>
      <c r="K11" s="193"/>
      <c r="L11" s="466"/>
      <c r="M11" s="467"/>
    </row>
    <row r="12" spans="1:13" x14ac:dyDescent="0.25">
      <c r="A12" s="500" t="s">
        <v>1185</v>
      </c>
      <c r="B12" s="368" t="s">
        <v>1184</v>
      </c>
      <c r="C12" s="393">
        <v>0.9</v>
      </c>
      <c r="D12" s="393">
        <v>1</v>
      </c>
      <c r="E12" s="691">
        <f>C12*D12*E10</f>
        <v>3.1315370902236642E-2</v>
      </c>
      <c r="F12" s="313" t="s">
        <v>85</v>
      </c>
      <c r="G12" s="276">
        <f>C12*D12*$G$10</f>
        <v>3.1315370902236642E-2</v>
      </c>
      <c r="H12" s="639">
        <f t="shared" si="0"/>
        <v>0</v>
      </c>
      <c r="J12" s="193"/>
      <c r="K12" s="193"/>
      <c r="L12" s="466"/>
      <c r="M12" s="467"/>
    </row>
    <row r="13" spans="1:13" x14ac:dyDescent="0.25">
      <c r="A13" s="500" t="s">
        <v>1213</v>
      </c>
      <c r="B13" s="368" t="s">
        <v>1214</v>
      </c>
      <c r="C13" s="393">
        <v>1.48</v>
      </c>
      <c r="D13" s="393">
        <v>1</v>
      </c>
      <c r="E13" s="691">
        <f>C13*D13*E10</f>
        <v>5.1496387705900253E-2</v>
      </c>
      <c r="F13" s="313" t="s">
        <v>85</v>
      </c>
      <c r="G13" s="276">
        <f t="shared" ref="G13:G14" si="1">C13*D13*$G$10</f>
        <v>5.1496387705900253E-2</v>
      </c>
      <c r="H13" s="639">
        <f t="shared" si="0"/>
        <v>0</v>
      </c>
      <c r="J13" s="193"/>
      <c r="K13" s="193"/>
      <c r="L13" s="466"/>
      <c r="M13" s="467"/>
    </row>
    <row r="14" spans="1:13" x14ac:dyDescent="0.25">
      <c r="A14" s="500" t="s">
        <v>1185</v>
      </c>
      <c r="B14" s="368" t="s">
        <v>1040</v>
      </c>
      <c r="C14" s="393">
        <v>1.8</v>
      </c>
      <c r="D14" s="393">
        <v>1</v>
      </c>
      <c r="E14" s="691">
        <f>C14*D14*E10</f>
        <v>6.2630741804473283E-2</v>
      </c>
      <c r="F14" s="313" t="s">
        <v>85</v>
      </c>
      <c r="G14" s="276">
        <f t="shared" si="1"/>
        <v>6.2630741804473283E-2</v>
      </c>
      <c r="H14" s="639">
        <f t="shared" si="0"/>
        <v>0</v>
      </c>
      <c r="J14" s="193"/>
      <c r="K14" s="193"/>
      <c r="L14" s="466"/>
      <c r="M14" s="467"/>
    </row>
    <row r="15" spans="1:13" ht="29.25" customHeight="1" x14ac:dyDescent="0.25">
      <c r="A15" s="16"/>
      <c r="B15" s="547" t="s">
        <v>1182</v>
      </c>
      <c r="C15" s="694"/>
      <c r="D15" s="695" t="s">
        <v>1032</v>
      </c>
      <c r="E15" s="758">
        <f>E21+E24</f>
        <v>7.3567772527685538E-2</v>
      </c>
      <c r="F15" s="759" t="s">
        <v>85</v>
      </c>
      <c r="G15" s="276">
        <f>G21+G24</f>
        <v>7.3567772527685538E-2</v>
      </c>
      <c r="H15" s="639">
        <f t="shared" si="0"/>
        <v>0</v>
      </c>
      <c r="J15" s="193"/>
      <c r="K15" s="193"/>
      <c r="L15" s="466"/>
      <c r="M15" s="467"/>
    </row>
    <row r="16" spans="1:13" ht="18.75" x14ac:dyDescent="0.35">
      <c r="A16" s="16"/>
      <c r="B16" s="306" t="s">
        <v>1033</v>
      </c>
      <c r="C16" s="548" t="s">
        <v>1041</v>
      </c>
      <c r="D16" s="548" t="s">
        <v>1035</v>
      </c>
      <c r="E16" s="697">
        <v>150</v>
      </c>
      <c r="F16" s="552"/>
      <c r="G16" s="697">
        <v>150</v>
      </c>
      <c r="H16" s="639">
        <f t="shared" si="0"/>
        <v>0</v>
      </c>
      <c r="J16" s="193"/>
      <c r="K16" s="193"/>
      <c r="L16" s="466"/>
      <c r="M16" s="467"/>
    </row>
    <row r="17" spans="1:13" x14ac:dyDescent="0.25">
      <c r="A17" s="16"/>
      <c r="B17" s="275" t="s">
        <v>1036</v>
      </c>
      <c r="C17" s="273"/>
      <c r="D17" s="18"/>
      <c r="E17" s="310">
        <f>E5</f>
        <v>6.6917950841250011</v>
      </c>
      <c r="F17" s="369" t="s">
        <v>64</v>
      </c>
      <c r="G17" s="310">
        <f>G29</f>
        <v>6.6917950841250011</v>
      </c>
      <c r="H17" s="639">
        <f t="shared" si="0"/>
        <v>0</v>
      </c>
      <c r="J17" s="193"/>
      <c r="K17" s="193"/>
      <c r="L17" s="466"/>
      <c r="M17" s="467"/>
    </row>
    <row r="18" spans="1:13" x14ac:dyDescent="0.25">
      <c r="A18" s="16"/>
      <c r="B18" s="740" t="s">
        <v>875</v>
      </c>
      <c r="C18" s="741"/>
      <c r="D18" s="197"/>
      <c r="E18" s="742">
        <v>1.7</v>
      </c>
      <c r="F18" s="743" t="s">
        <v>252</v>
      </c>
      <c r="G18" s="276">
        <v>1.7</v>
      </c>
      <c r="H18" s="639">
        <f t="shared" si="0"/>
        <v>0</v>
      </c>
      <c r="J18" s="193"/>
      <c r="K18" s="193"/>
      <c r="L18" s="466"/>
      <c r="M18" s="467"/>
    </row>
    <row r="19" spans="1:13" x14ac:dyDescent="0.25">
      <c r="A19" s="16"/>
      <c r="B19" s="744" t="s">
        <v>1037</v>
      </c>
      <c r="C19" s="741"/>
      <c r="D19" s="197"/>
      <c r="E19" s="742">
        <v>4</v>
      </c>
      <c r="F19" s="745" t="s">
        <v>129</v>
      </c>
      <c r="G19" s="276">
        <v>4</v>
      </c>
      <c r="H19" s="639">
        <f t="shared" si="0"/>
        <v>0</v>
      </c>
      <c r="J19" s="193"/>
      <c r="K19" s="193"/>
      <c r="L19" s="466"/>
      <c r="M19" s="467"/>
    </row>
    <row r="20" spans="1:13" x14ac:dyDescent="0.25">
      <c r="A20" s="16"/>
      <c r="B20" s="541" t="s">
        <v>1038</v>
      </c>
      <c r="C20" s="315"/>
      <c r="D20" s="18"/>
      <c r="E20" s="278">
        <f>0.001*E17/(0.25*3.14*(0.0254*E19)^2)</f>
        <v>0.82582031250000021</v>
      </c>
      <c r="F20" s="313" t="s">
        <v>131</v>
      </c>
      <c r="G20" s="278">
        <f>0.001*G17/(0.25*3.14*(0.0254*G19)^2)</f>
        <v>0.82582031250000021</v>
      </c>
      <c r="H20" s="639">
        <f t="shared" si="0"/>
        <v>0</v>
      </c>
      <c r="J20" s="193"/>
      <c r="K20" s="193"/>
      <c r="L20" s="466"/>
      <c r="M20" s="467"/>
    </row>
    <row r="21" spans="1:13" x14ac:dyDescent="0.25">
      <c r="A21" s="568" t="s">
        <v>1211</v>
      </c>
      <c r="B21" s="542" t="s">
        <v>851</v>
      </c>
      <c r="C21" s="543"/>
      <c r="D21" s="18"/>
      <c r="E21" s="216">
        <f>(10.672*E18*(0.001*E17/E16)^1.852)/(0.0254*E19)^4.871</f>
        <v>1.0937030723212247E-2</v>
      </c>
      <c r="F21" s="191" t="s">
        <v>85</v>
      </c>
      <c r="G21" s="216">
        <f>(10.672*G18*(0.001*G17/G16)^1.852)/(0.0254*G19)^4.871</f>
        <v>1.0937030723212247E-2</v>
      </c>
      <c r="H21" s="639">
        <f t="shared" si="0"/>
        <v>0</v>
      </c>
      <c r="J21" s="193"/>
      <c r="K21" s="193"/>
      <c r="L21" s="466"/>
      <c r="M21" s="467"/>
    </row>
    <row r="22" spans="1:13" x14ac:dyDescent="0.25">
      <c r="A22" s="16"/>
      <c r="B22" s="541" t="s">
        <v>866</v>
      </c>
      <c r="C22" s="315"/>
      <c r="E22" s="278">
        <f>E20^2/19.6</f>
        <v>3.479485655804071E-2</v>
      </c>
      <c r="F22" s="313" t="s">
        <v>85</v>
      </c>
      <c r="G22" s="278">
        <f>G20^2/19.6</f>
        <v>3.479485655804071E-2</v>
      </c>
      <c r="H22" s="639">
        <f t="shared" si="0"/>
        <v>0</v>
      </c>
      <c r="J22" s="193"/>
      <c r="K22" s="193"/>
      <c r="L22" s="466"/>
      <c r="M22" s="467"/>
    </row>
    <row r="23" spans="1:13" x14ac:dyDescent="0.25">
      <c r="A23" s="16"/>
      <c r="B23" s="550" t="s">
        <v>867</v>
      </c>
      <c r="C23" s="551" t="s">
        <v>1007</v>
      </c>
      <c r="D23" s="551" t="s">
        <v>1039</v>
      </c>
      <c r="E23" s="692" t="s">
        <v>1277</v>
      </c>
      <c r="F23" s="313"/>
      <c r="G23" s="746" t="s">
        <v>1277</v>
      </c>
      <c r="H23" s="639"/>
    </row>
    <row r="24" spans="1:13" x14ac:dyDescent="0.25">
      <c r="A24" s="500" t="s">
        <v>1185</v>
      </c>
      <c r="B24" s="306" t="s">
        <v>1042</v>
      </c>
      <c r="C24" s="553">
        <v>1.8</v>
      </c>
      <c r="D24" s="554">
        <v>1</v>
      </c>
      <c r="E24" s="278">
        <f>C24*D24*E22</f>
        <v>6.2630741804473283E-2</v>
      </c>
      <c r="F24" s="313" t="s">
        <v>85</v>
      </c>
      <c r="G24" s="747">
        <f>C24*D24*$G$10</f>
        <v>6.2630741804473283E-2</v>
      </c>
      <c r="H24" s="639">
        <f t="shared" si="0"/>
        <v>0</v>
      </c>
    </row>
    <row r="25" spans="1:13" ht="26.25" customHeight="1" x14ac:dyDescent="0.25">
      <c r="A25" s="16"/>
      <c r="B25" s="547" t="s">
        <v>1043</v>
      </c>
      <c r="C25" s="694"/>
      <c r="D25" s="695" t="s">
        <v>1032</v>
      </c>
      <c r="E25" s="758">
        <f>SUM(E35:E41)</f>
        <v>5.0522878881233746E-2</v>
      </c>
      <c r="F25" s="759" t="s">
        <v>85</v>
      </c>
      <c r="G25" s="696">
        <f>SUM(G35:G41)</f>
        <v>5.0522878881233746E-2</v>
      </c>
      <c r="H25" s="639">
        <f t="shared" si="0"/>
        <v>0</v>
      </c>
    </row>
    <row r="26" spans="1:13" ht="18.75" x14ac:dyDescent="0.35">
      <c r="A26" s="16"/>
      <c r="B26" s="306" t="s">
        <v>1033</v>
      </c>
      <c r="C26" s="548" t="s">
        <v>1034</v>
      </c>
      <c r="D26" s="548" t="s">
        <v>1044</v>
      </c>
      <c r="E26" s="697">
        <v>150</v>
      </c>
      <c r="F26" s="552"/>
      <c r="G26" s="697">
        <v>150</v>
      </c>
      <c r="H26" s="639">
        <f t="shared" si="0"/>
        <v>0</v>
      </c>
    </row>
    <row r="27" spans="1:13" x14ac:dyDescent="0.25">
      <c r="A27" s="500" t="s">
        <v>1132</v>
      </c>
      <c r="B27" s="749" t="s">
        <v>1205</v>
      </c>
      <c r="C27" s="741"/>
      <c r="D27" s="197"/>
      <c r="E27" s="750">
        <f>'Planta USA'!E27</f>
        <v>3</v>
      </c>
      <c r="F27" s="743" t="s">
        <v>201</v>
      </c>
      <c r="G27" s="310">
        <f>'Planta USA'!G27</f>
        <v>3</v>
      </c>
      <c r="H27" s="639">
        <f t="shared" si="0"/>
        <v>0</v>
      </c>
    </row>
    <row r="28" spans="1:13" x14ac:dyDescent="0.25">
      <c r="A28" s="16"/>
      <c r="B28" s="368" t="s">
        <v>859</v>
      </c>
      <c r="C28" s="273"/>
      <c r="D28" s="18"/>
      <c r="E28" s="276">
        <f>E43</f>
        <v>2.2305983613750002</v>
      </c>
      <c r="F28" s="369" t="s">
        <v>64</v>
      </c>
      <c r="G28" s="276">
        <f>G43</f>
        <v>2.2305983613750002</v>
      </c>
      <c r="H28" s="639">
        <f t="shared" si="0"/>
        <v>0</v>
      </c>
    </row>
    <row r="29" spans="1:13" x14ac:dyDescent="0.25">
      <c r="A29" s="16"/>
      <c r="B29" s="272" t="s">
        <v>1045</v>
      </c>
      <c r="C29" s="273"/>
      <c r="D29" s="18"/>
      <c r="E29" s="276">
        <f>E5</f>
        <v>6.6917950841250011</v>
      </c>
      <c r="F29" s="274" t="s">
        <v>64</v>
      </c>
      <c r="G29" s="276">
        <f>G27*G28</f>
        <v>6.6917950841250011</v>
      </c>
      <c r="H29" s="639">
        <f t="shared" si="0"/>
        <v>0</v>
      </c>
    </row>
    <row r="30" spans="1:13" x14ac:dyDescent="0.25">
      <c r="A30" s="500" t="s">
        <v>1132</v>
      </c>
      <c r="B30" s="541" t="s">
        <v>1215</v>
      </c>
      <c r="C30" s="315"/>
      <c r="D30" s="18"/>
      <c r="E30" s="278">
        <f>'Planta USA'!E30</f>
        <v>1.8</v>
      </c>
      <c r="F30" s="313" t="s">
        <v>85</v>
      </c>
      <c r="G30" s="278">
        <f>'Planta USA'!G30</f>
        <v>1.8</v>
      </c>
      <c r="H30" s="639">
        <f t="shared" si="0"/>
        <v>0</v>
      </c>
    </row>
    <row r="31" spans="1:13" x14ac:dyDescent="0.25">
      <c r="A31" s="16"/>
      <c r="B31" s="744" t="s">
        <v>1216</v>
      </c>
      <c r="C31" s="741"/>
      <c r="D31" s="197"/>
      <c r="E31" s="742">
        <v>1.3</v>
      </c>
      <c r="F31" s="745" t="s">
        <v>85</v>
      </c>
      <c r="G31" s="216">
        <v>1.3</v>
      </c>
      <c r="H31" s="639">
        <f t="shared" si="0"/>
        <v>0</v>
      </c>
    </row>
    <row r="32" spans="1:13" x14ac:dyDescent="0.25">
      <c r="A32" s="16"/>
      <c r="B32" s="541" t="s">
        <v>1046</v>
      </c>
      <c r="C32" s="315"/>
      <c r="E32" s="278">
        <f>E31+(E27-1)*E30</f>
        <v>4.9000000000000004</v>
      </c>
      <c r="F32" s="313" t="s">
        <v>85</v>
      </c>
      <c r="G32" s="278">
        <f>G31+(G27-1)*G30</f>
        <v>4.9000000000000004</v>
      </c>
      <c r="H32" s="639">
        <f t="shared" si="0"/>
        <v>0</v>
      </c>
    </row>
    <row r="33" spans="1:8" ht="15.95" customHeight="1" x14ac:dyDescent="0.25">
      <c r="A33" s="16"/>
      <c r="B33" s="555" t="s">
        <v>1047</v>
      </c>
      <c r="C33" s="555" t="s">
        <v>1048</v>
      </c>
      <c r="D33" s="555" t="s">
        <v>1049</v>
      </c>
      <c r="E33" s="702"/>
      <c r="F33" s="699"/>
      <c r="G33" s="702"/>
      <c r="H33" s="706"/>
    </row>
    <row r="34" spans="1:8" ht="15.95" customHeight="1" x14ac:dyDescent="0.25">
      <c r="A34" s="16"/>
      <c r="B34" s="556"/>
      <c r="C34" s="556" t="s">
        <v>129</v>
      </c>
      <c r="D34" s="556" t="s">
        <v>64</v>
      </c>
      <c r="E34" s="756" t="s">
        <v>1277</v>
      </c>
      <c r="F34" s="757"/>
      <c r="G34" s="756" t="s">
        <v>1277</v>
      </c>
      <c r="H34" s="687"/>
    </row>
    <row r="35" spans="1:8" ht="15" customHeight="1" x14ac:dyDescent="0.25">
      <c r="A35" s="16"/>
      <c r="B35" s="469">
        <v>1</v>
      </c>
      <c r="C35" s="469">
        <v>4</v>
      </c>
      <c r="D35" s="470">
        <f>E29</f>
        <v>6.6917950841250011</v>
      </c>
      <c r="E35" s="701">
        <f t="shared" ref="E35:E41" si="2">(10.672*$E$32*(0.001*D35/$E$26)^1.852)/(0.0254*C35)^4.871</f>
        <v>3.1524382672788245E-2</v>
      </c>
      <c r="F35" s="313" t="s">
        <v>85</v>
      </c>
      <c r="G35" s="748">
        <f>(10.672*$E$32*(0.001*D35/$E$26)^1.852)/(0.0254*C35)^4.871</f>
        <v>3.1524382672788245E-2</v>
      </c>
      <c r="H35" s="639">
        <f t="shared" si="0"/>
        <v>0</v>
      </c>
    </row>
    <row r="36" spans="1:8" ht="15" customHeight="1" x14ac:dyDescent="0.25">
      <c r="A36" s="16"/>
      <c r="B36" s="469">
        <f>B35+1</f>
        <v>2</v>
      </c>
      <c r="C36" s="469">
        <v>4</v>
      </c>
      <c r="D36" s="470">
        <f t="shared" ref="D36:D41" si="3">MAX(0,D35-$E$28)</f>
        <v>4.4611967227500013</v>
      </c>
      <c r="E36" s="701">
        <f t="shared" si="2"/>
        <v>1.487734995757148E-2</v>
      </c>
      <c r="F36" s="313" t="s">
        <v>85</v>
      </c>
      <c r="G36" s="748">
        <f t="shared" ref="G36:G41" si="4">(10.672*$E$32*(0.001*D36/$E$26)^1.852)/(0.0254*C36)^4.871</f>
        <v>1.487734995757148E-2</v>
      </c>
      <c r="H36" s="639">
        <f t="shared" si="0"/>
        <v>0</v>
      </c>
    </row>
    <row r="37" spans="1:8" ht="15" customHeight="1" x14ac:dyDescent="0.25">
      <c r="A37" s="16"/>
      <c r="B37" s="469">
        <f t="shared" ref="B37:B41" si="5">B36+1</f>
        <v>3</v>
      </c>
      <c r="C37" s="469">
        <v>4</v>
      </c>
      <c r="D37" s="470">
        <f t="shared" si="3"/>
        <v>2.2305983613750011</v>
      </c>
      <c r="E37" s="701">
        <f t="shared" si="2"/>
        <v>4.1211462508740238E-3</v>
      </c>
      <c r="F37" s="313" t="s">
        <v>85</v>
      </c>
      <c r="G37" s="748">
        <f t="shared" si="4"/>
        <v>4.1211462508740238E-3</v>
      </c>
      <c r="H37" s="639">
        <f t="shared" si="0"/>
        <v>0</v>
      </c>
    </row>
    <row r="38" spans="1:8" ht="15" customHeight="1" x14ac:dyDescent="0.25">
      <c r="A38" s="16"/>
      <c r="B38" s="469">
        <f t="shared" si="5"/>
        <v>4</v>
      </c>
      <c r="C38" s="469">
        <v>4</v>
      </c>
      <c r="D38" s="470">
        <f t="shared" si="3"/>
        <v>8.8817841970012523E-16</v>
      </c>
      <c r="E38" s="701">
        <f t="shared" si="2"/>
        <v>1.2426935234584658E-31</v>
      </c>
      <c r="F38" s="313" t="s">
        <v>85</v>
      </c>
      <c r="G38" s="748">
        <f t="shared" si="4"/>
        <v>1.2426935234584658E-31</v>
      </c>
      <c r="H38" s="639">
        <f t="shared" si="0"/>
        <v>0</v>
      </c>
    </row>
    <row r="39" spans="1:8" ht="15" customHeight="1" x14ac:dyDescent="0.25">
      <c r="A39" s="16"/>
      <c r="B39" s="469">
        <f t="shared" si="5"/>
        <v>5</v>
      </c>
      <c r="C39" s="469">
        <v>4</v>
      </c>
      <c r="D39" s="470">
        <f t="shared" si="3"/>
        <v>0</v>
      </c>
      <c r="E39" s="701">
        <f t="shared" si="2"/>
        <v>0</v>
      </c>
      <c r="F39" s="313" t="s">
        <v>85</v>
      </c>
      <c r="G39" s="748">
        <f t="shared" si="4"/>
        <v>0</v>
      </c>
      <c r="H39" s="639">
        <f t="shared" si="0"/>
        <v>0</v>
      </c>
    </row>
    <row r="40" spans="1:8" ht="15" customHeight="1" x14ac:dyDescent="0.25">
      <c r="A40" s="16"/>
      <c r="B40" s="469">
        <f t="shared" si="5"/>
        <v>6</v>
      </c>
      <c r="C40" s="469">
        <v>4</v>
      </c>
      <c r="D40" s="470">
        <f t="shared" si="3"/>
        <v>0</v>
      </c>
      <c r="E40" s="701">
        <f t="shared" si="2"/>
        <v>0</v>
      </c>
      <c r="F40" s="313" t="s">
        <v>85</v>
      </c>
      <c r="G40" s="748">
        <f t="shared" si="4"/>
        <v>0</v>
      </c>
      <c r="H40" s="639">
        <f t="shared" si="0"/>
        <v>0</v>
      </c>
    </row>
    <row r="41" spans="1:8" ht="15" customHeight="1" x14ac:dyDescent="0.25">
      <c r="A41" s="16"/>
      <c r="B41" s="469">
        <f t="shared" si="5"/>
        <v>7</v>
      </c>
      <c r="C41" s="469">
        <v>4</v>
      </c>
      <c r="D41" s="470">
        <f t="shared" si="3"/>
        <v>0</v>
      </c>
      <c r="E41" s="701">
        <f t="shared" si="2"/>
        <v>0</v>
      </c>
      <c r="F41" s="313" t="s">
        <v>85</v>
      </c>
      <c r="G41" s="748">
        <f t="shared" si="4"/>
        <v>0</v>
      </c>
      <c r="H41" s="639">
        <f t="shared" si="0"/>
        <v>0</v>
      </c>
    </row>
    <row r="42" spans="1:8" ht="24" customHeight="1" x14ac:dyDescent="0.25">
      <c r="A42" s="16"/>
      <c r="B42" s="547" t="s">
        <v>1178</v>
      </c>
      <c r="C42" s="694"/>
      <c r="D42" s="695" t="s">
        <v>1032</v>
      </c>
      <c r="E42" s="758">
        <f>SUM(E51:E80)</f>
        <v>2.3498801372138781E-2</v>
      </c>
      <c r="F42" s="759" t="s">
        <v>85</v>
      </c>
      <c r="G42" s="696">
        <f>SUM(G51:G80)</f>
        <v>2.3498801372138781E-2</v>
      </c>
      <c r="H42" s="639"/>
    </row>
    <row r="43" spans="1:8" ht="15.95" customHeight="1" x14ac:dyDescent="0.25">
      <c r="A43" s="500" t="s">
        <v>1293</v>
      </c>
      <c r="B43" s="275" t="s">
        <v>859</v>
      </c>
      <c r="C43" s="273"/>
      <c r="D43" s="18"/>
      <c r="E43" s="310">
        <f>'Parrilla Nitrificacion Parcial'!E24</f>
        <v>2.2305983613750002</v>
      </c>
      <c r="F43" s="369" t="s">
        <v>64</v>
      </c>
      <c r="G43" s="696">
        <f>'Parrilla Nitrificacion Parcial'!G24</f>
        <v>2.2305983613750002</v>
      </c>
      <c r="H43" s="311">
        <f t="shared" si="0"/>
        <v>0</v>
      </c>
    </row>
    <row r="44" spans="1:8" ht="15.95" customHeight="1" x14ac:dyDescent="0.35">
      <c r="A44" s="16"/>
      <c r="B44" s="306" t="s">
        <v>1033</v>
      </c>
      <c r="C44" s="548" t="s">
        <v>1034</v>
      </c>
      <c r="D44" s="548" t="s">
        <v>1044</v>
      </c>
      <c r="E44" s="697">
        <v>150</v>
      </c>
      <c r="F44" s="552"/>
      <c r="G44" s="697">
        <v>150</v>
      </c>
      <c r="H44" s="311">
        <f t="shared" si="0"/>
        <v>0</v>
      </c>
    </row>
    <row r="45" spans="1:8" ht="15.95" customHeight="1" x14ac:dyDescent="0.25">
      <c r="A45" s="16"/>
      <c r="B45" s="744" t="s">
        <v>1051</v>
      </c>
      <c r="C45" s="741"/>
      <c r="D45" s="197"/>
      <c r="E45" s="751">
        <v>18</v>
      </c>
      <c r="F45" s="745" t="s">
        <v>201</v>
      </c>
      <c r="G45" s="697">
        <v>18</v>
      </c>
      <c r="H45" s="311">
        <f t="shared" si="0"/>
        <v>0</v>
      </c>
    </row>
    <row r="46" spans="1:8" ht="15.95" customHeight="1" x14ac:dyDescent="0.25">
      <c r="A46" s="16"/>
      <c r="B46" s="752" t="s">
        <v>1179</v>
      </c>
      <c r="C46" s="753"/>
      <c r="D46" s="197"/>
      <c r="E46" s="754">
        <v>0.14000000000000001</v>
      </c>
      <c r="F46" s="755" t="s">
        <v>85</v>
      </c>
      <c r="G46" s="278">
        <v>0.14000000000000001</v>
      </c>
      <c r="H46" s="311">
        <f t="shared" si="0"/>
        <v>0</v>
      </c>
    </row>
    <row r="47" spans="1:8" ht="15.95" customHeight="1" x14ac:dyDescent="0.25">
      <c r="A47" s="16"/>
      <c r="B47" s="542" t="s">
        <v>1180</v>
      </c>
      <c r="C47" s="543"/>
      <c r="D47" s="18"/>
      <c r="E47" s="216">
        <f>E45*E46</f>
        <v>2.5200000000000005</v>
      </c>
      <c r="F47" s="191" t="s">
        <v>85</v>
      </c>
      <c r="G47" s="278">
        <f>G45*G46</f>
        <v>2.5200000000000005</v>
      </c>
      <c r="H47" s="311">
        <f t="shared" si="0"/>
        <v>0</v>
      </c>
    </row>
    <row r="48" spans="1:8" ht="15.75" customHeight="1" x14ac:dyDescent="0.25">
      <c r="A48" s="16"/>
      <c r="B48" s="541" t="s">
        <v>891</v>
      </c>
      <c r="C48" s="315"/>
      <c r="E48" s="278">
        <f>E43/E45</f>
        <v>0.12392213118750001</v>
      </c>
      <c r="F48" s="313" t="s">
        <v>64</v>
      </c>
      <c r="G48" s="278">
        <f>G43/G45</f>
        <v>0.12392213118750001</v>
      </c>
      <c r="H48" s="311">
        <f t="shared" si="0"/>
        <v>0</v>
      </c>
    </row>
    <row r="49" spans="1:8" x14ac:dyDescent="0.25">
      <c r="A49" s="16"/>
      <c r="B49" s="555" t="s">
        <v>1047</v>
      </c>
      <c r="C49" s="555" t="s">
        <v>1048</v>
      </c>
      <c r="D49" s="555" t="s">
        <v>1049</v>
      </c>
      <c r="E49" s="555" t="s">
        <v>1050</v>
      </c>
      <c r="F49" s="297"/>
      <c r="G49" s="698" t="s">
        <v>1050</v>
      </c>
      <c r="H49" s="555"/>
    </row>
    <row r="50" spans="1:8" x14ac:dyDescent="0.25">
      <c r="A50" s="16"/>
      <c r="B50" s="556"/>
      <c r="C50" s="556" t="s">
        <v>129</v>
      </c>
      <c r="D50" s="556" t="s">
        <v>64</v>
      </c>
      <c r="E50" s="556" t="s">
        <v>85</v>
      </c>
      <c r="F50" s="297"/>
      <c r="G50" s="700" t="s">
        <v>85</v>
      </c>
      <c r="H50" s="556"/>
    </row>
    <row r="51" spans="1:8" x14ac:dyDescent="0.25">
      <c r="A51" s="16"/>
      <c r="B51" s="469">
        <v>1</v>
      </c>
      <c r="C51" s="470">
        <v>2</v>
      </c>
      <c r="D51" s="470">
        <f>E43</f>
        <v>2.2305983613750002</v>
      </c>
      <c r="E51" s="471">
        <f t="shared" ref="E51:E80" si="6">(10.672*$E$46*(0.001*D51/$E$44)^1.852)/(0.0254*C51)^4.871</f>
        <v>3.4456177144207424E-3</v>
      </c>
      <c r="F51" s="462"/>
      <c r="G51" s="701">
        <f>(10.672*$E$46*(0.001*D51/$E$44)^1.852)/(0.0254*C51)^4.871</f>
        <v>3.4456177144207424E-3</v>
      </c>
      <c r="H51" s="311">
        <f t="shared" si="0"/>
        <v>0</v>
      </c>
    </row>
    <row r="52" spans="1:8" x14ac:dyDescent="0.25">
      <c r="A52" s="16"/>
      <c r="B52" s="469">
        <f>B51+1</f>
        <v>2</v>
      </c>
      <c r="C52" s="470">
        <v>2</v>
      </c>
      <c r="D52" s="470">
        <f t="shared" ref="D52:D80" si="7">MAX(0,D51-$E$48)</f>
        <v>2.1066762301875004</v>
      </c>
      <c r="E52" s="471">
        <f t="shared" si="6"/>
        <v>3.0995155140427083E-3</v>
      </c>
      <c r="F52" s="462"/>
      <c r="G52" s="701">
        <f t="shared" ref="G52:G80" si="8">(10.672*$E$46*(0.001*D52/$E$44)^1.852)/(0.0254*C52)^4.871</f>
        <v>3.0995155140427083E-3</v>
      </c>
      <c r="H52" s="311">
        <f t="shared" si="0"/>
        <v>0</v>
      </c>
    </row>
    <row r="53" spans="1:8" x14ac:dyDescent="0.25">
      <c r="A53" s="16"/>
      <c r="B53" s="469">
        <f t="shared" ref="B53:B80" si="9">B52+1</f>
        <v>3</v>
      </c>
      <c r="C53" s="470">
        <v>2</v>
      </c>
      <c r="D53" s="470">
        <f t="shared" si="7"/>
        <v>1.9827540990000003</v>
      </c>
      <c r="E53" s="471">
        <f t="shared" si="6"/>
        <v>2.7703371120088257E-3</v>
      </c>
      <c r="F53" s="297"/>
      <c r="G53" s="701">
        <f t="shared" si="8"/>
        <v>2.7703371120088257E-3</v>
      </c>
      <c r="H53" s="311">
        <f t="shared" si="0"/>
        <v>0</v>
      </c>
    </row>
    <row r="54" spans="1:8" x14ac:dyDescent="0.25">
      <c r="A54" s="16"/>
      <c r="B54" s="469">
        <f t="shared" si="9"/>
        <v>4</v>
      </c>
      <c r="C54" s="470">
        <v>2</v>
      </c>
      <c r="D54" s="470">
        <f t="shared" si="7"/>
        <v>1.8588319678125003</v>
      </c>
      <c r="E54" s="471">
        <f t="shared" si="6"/>
        <v>2.4582351474350017E-3</v>
      </c>
      <c r="F54" s="297"/>
      <c r="G54" s="701">
        <f t="shared" si="8"/>
        <v>2.4582351474350017E-3</v>
      </c>
      <c r="H54" s="311">
        <f t="shared" si="0"/>
        <v>0</v>
      </c>
    </row>
    <row r="55" spans="1:8" x14ac:dyDescent="0.25">
      <c r="A55" s="16"/>
      <c r="B55" s="469">
        <f t="shared" si="9"/>
        <v>5</v>
      </c>
      <c r="C55" s="470">
        <v>2</v>
      </c>
      <c r="D55" s="470">
        <f t="shared" si="7"/>
        <v>1.7349098366250002</v>
      </c>
      <c r="E55" s="471">
        <f t="shared" si="6"/>
        <v>2.1633736424325244E-3</v>
      </c>
      <c r="F55" s="297"/>
      <c r="G55" s="701">
        <f t="shared" si="8"/>
        <v>2.1633736424325244E-3</v>
      </c>
      <c r="H55" s="311">
        <f t="shared" si="0"/>
        <v>0</v>
      </c>
    </row>
    <row r="56" spans="1:8" x14ac:dyDescent="0.25">
      <c r="A56" s="16"/>
      <c r="B56" s="469">
        <f t="shared" si="9"/>
        <v>6</v>
      </c>
      <c r="C56" s="470">
        <v>2</v>
      </c>
      <c r="D56" s="470">
        <f t="shared" si="7"/>
        <v>1.6109877054375001</v>
      </c>
      <c r="E56" s="471">
        <f t="shared" si="6"/>
        <v>1.8859297027345814E-3</v>
      </c>
      <c r="F56" s="297"/>
      <c r="G56" s="701">
        <f t="shared" si="8"/>
        <v>1.8859297027345814E-3</v>
      </c>
      <c r="H56" s="311">
        <f t="shared" si="0"/>
        <v>0</v>
      </c>
    </row>
    <row r="57" spans="1:8" x14ac:dyDescent="0.25">
      <c r="A57" s="16"/>
      <c r="B57" s="469">
        <f t="shared" si="9"/>
        <v>7</v>
      </c>
      <c r="C57" s="470">
        <v>2</v>
      </c>
      <c r="D57" s="470">
        <f t="shared" si="7"/>
        <v>1.4870655742500001</v>
      </c>
      <c r="E57" s="471">
        <f t="shared" si="6"/>
        <v>1.6260956190489995E-3</v>
      </c>
      <c r="F57" s="297"/>
      <c r="G57" s="701">
        <f t="shared" si="8"/>
        <v>1.6260956190489995E-3</v>
      </c>
      <c r="H57" s="311">
        <f t="shared" si="0"/>
        <v>0</v>
      </c>
    </row>
    <row r="58" spans="1:8" x14ac:dyDescent="0.25">
      <c r="A58" s="16"/>
      <c r="B58" s="469">
        <f t="shared" si="9"/>
        <v>8</v>
      </c>
      <c r="C58" s="470">
        <v>2</v>
      </c>
      <c r="D58" s="470">
        <f t="shared" si="7"/>
        <v>1.3631434430625</v>
      </c>
      <c r="E58" s="471">
        <f t="shared" si="6"/>
        <v>1.3840815038340011E-3</v>
      </c>
      <c r="F58" s="297"/>
      <c r="G58" s="701">
        <f t="shared" si="8"/>
        <v>1.3840815038340011E-3</v>
      </c>
      <c r="H58" s="311">
        <f t="shared" si="0"/>
        <v>0</v>
      </c>
    </row>
    <row r="59" spans="1:8" x14ac:dyDescent="0.25">
      <c r="A59" s="16"/>
      <c r="B59" s="469">
        <f t="shared" si="9"/>
        <v>9</v>
      </c>
      <c r="C59" s="470">
        <v>2</v>
      </c>
      <c r="D59" s="470">
        <f t="shared" si="7"/>
        <v>1.239221311875</v>
      </c>
      <c r="E59" s="471">
        <f t="shared" si="6"/>
        <v>1.1601186594515562E-3</v>
      </c>
      <c r="F59" s="297"/>
      <c r="G59" s="701">
        <f t="shared" si="8"/>
        <v>1.1601186594515562E-3</v>
      </c>
      <c r="H59" s="311">
        <f t="shared" si="0"/>
        <v>0</v>
      </c>
    </row>
    <row r="60" spans="1:8" x14ac:dyDescent="0.25">
      <c r="A60" s="16"/>
      <c r="B60" s="469">
        <f t="shared" si="9"/>
        <v>10</v>
      </c>
      <c r="C60" s="470">
        <v>2</v>
      </c>
      <c r="D60" s="470">
        <f t="shared" si="7"/>
        <v>1.1152991806874999</v>
      </c>
      <c r="E60" s="471">
        <f t="shared" si="6"/>
        <v>9.544639714886493E-4</v>
      </c>
      <c r="F60" s="297"/>
      <c r="G60" s="701">
        <f t="shared" si="8"/>
        <v>9.544639714886493E-4</v>
      </c>
      <c r="H60" s="311">
        <f t="shared" si="0"/>
        <v>0</v>
      </c>
    </row>
    <row r="61" spans="1:8" x14ac:dyDescent="0.25">
      <c r="A61" s="16"/>
      <c r="B61" s="469">
        <f t="shared" si="9"/>
        <v>11</v>
      </c>
      <c r="C61" s="470">
        <v>2</v>
      </c>
      <c r="D61" s="470">
        <f t="shared" si="7"/>
        <v>0.99137704949999983</v>
      </c>
      <c r="E61" s="471">
        <f t="shared" si="6"/>
        <v>7.6740578364911975E-4</v>
      </c>
      <c r="F61" s="297"/>
      <c r="G61" s="701">
        <f t="shared" si="8"/>
        <v>7.6740578364911975E-4</v>
      </c>
      <c r="H61" s="311">
        <f t="shared" si="0"/>
        <v>0</v>
      </c>
    </row>
    <row r="62" spans="1:8" x14ac:dyDescent="0.25">
      <c r="A62" s="16"/>
      <c r="B62" s="469">
        <f t="shared" si="9"/>
        <v>12</v>
      </c>
      <c r="C62" s="470">
        <v>2</v>
      </c>
      <c r="D62" s="470">
        <f t="shared" si="7"/>
        <v>0.86745491831249977</v>
      </c>
      <c r="E62" s="471">
        <f t="shared" si="6"/>
        <v>5.9927199408340204E-4</v>
      </c>
      <c r="F62" s="297"/>
      <c r="G62" s="701">
        <f t="shared" si="8"/>
        <v>5.9927199408340204E-4</v>
      </c>
      <c r="H62" s="311">
        <f t="shared" si="0"/>
        <v>0</v>
      </c>
    </row>
    <row r="63" spans="1:8" x14ac:dyDescent="0.25">
      <c r="A63" s="16"/>
      <c r="B63" s="469">
        <f t="shared" si="9"/>
        <v>13</v>
      </c>
      <c r="C63" s="470">
        <v>2</v>
      </c>
      <c r="D63" s="470">
        <f t="shared" si="7"/>
        <v>0.74353278712499971</v>
      </c>
      <c r="E63" s="471">
        <f t="shared" si="6"/>
        <v>4.5044163665693349E-4</v>
      </c>
      <c r="F63" s="297"/>
      <c r="G63" s="701">
        <f t="shared" si="8"/>
        <v>4.5044163665693349E-4</v>
      </c>
      <c r="H63" s="311">
        <f t="shared" si="0"/>
        <v>0</v>
      </c>
    </row>
    <row r="64" spans="1:8" x14ac:dyDescent="0.25">
      <c r="A64" s="16"/>
      <c r="B64" s="469">
        <f t="shared" si="9"/>
        <v>14</v>
      </c>
      <c r="C64" s="470">
        <v>2</v>
      </c>
      <c r="D64" s="470">
        <f t="shared" si="7"/>
        <v>0.61961065593749964</v>
      </c>
      <c r="E64" s="471">
        <f t="shared" si="6"/>
        <v>3.2136225050850365E-4</v>
      </c>
      <c r="G64" s="701">
        <f t="shared" si="8"/>
        <v>3.2136225050850365E-4</v>
      </c>
      <c r="H64" s="311">
        <f t="shared" si="0"/>
        <v>0</v>
      </c>
    </row>
    <row r="65" spans="1:8" x14ac:dyDescent="0.25">
      <c r="A65" s="16"/>
      <c r="B65" s="469">
        <f t="shared" si="9"/>
        <v>15</v>
      </c>
      <c r="C65" s="470">
        <v>2</v>
      </c>
      <c r="D65" s="470">
        <f t="shared" si="7"/>
        <v>0.49568852474999964</v>
      </c>
      <c r="E65" s="471">
        <f t="shared" si="6"/>
        <v>2.1257760805546455E-4</v>
      </c>
      <c r="G65" s="701">
        <f t="shared" si="8"/>
        <v>2.1257760805546455E-4</v>
      </c>
      <c r="H65" s="311">
        <f t="shared" si="0"/>
        <v>0</v>
      </c>
    </row>
    <row r="66" spans="1:8" x14ac:dyDescent="0.25">
      <c r="A66" s="16"/>
      <c r="B66" s="469">
        <f t="shared" si="9"/>
        <v>16</v>
      </c>
      <c r="C66" s="470">
        <v>2</v>
      </c>
      <c r="D66" s="470">
        <f t="shared" si="7"/>
        <v>0.37176639356249963</v>
      </c>
      <c r="E66" s="471">
        <f t="shared" si="6"/>
        <v>1.2477597606027512E-4</v>
      </c>
      <c r="G66" s="701">
        <f t="shared" si="8"/>
        <v>1.2477597606027512E-4</v>
      </c>
      <c r="H66" s="311">
        <f t="shared" si="0"/>
        <v>0</v>
      </c>
    </row>
    <row r="67" spans="1:8" x14ac:dyDescent="0.25">
      <c r="A67" s="16"/>
      <c r="B67" s="469">
        <f t="shared" si="9"/>
        <v>17</v>
      </c>
      <c r="C67" s="470">
        <v>2</v>
      </c>
      <c r="D67" s="470">
        <f t="shared" si="7"/>
        <v>0.24784426237499962</v>
      </c>
      <c r="E67" s="471">
        <f t="shared" si="6"/>
        <v>5.8885716539301617E-5</v>
      </c>
      <c r="G67" s="701">
        <f t="shared" si="8"/>
        <v>5.8885716539301617E-5</v>
      </c>
      <c r="H67" s="311">
        <f t="shared" ref="H67:H80" si="10">G67-E67</f>
        <v>0</v>
      </c>
    </row>
    <row r="68" spans="1:8" x14ac:dyDescent="0.25">
      <c r="A68" s="16"/>
      <c r="B68" s="469">
        <f t="shared" si="9"/>
        <v>18</v>
      </c>
      <c r="C68" s="470">
        <v>2</v>
      </c>
      <c r="D68" s="470">
        <f t="shared" si="7"/>
        <v>0.12392213118749962</v>
      </c>
      <c r="E68" s="471">
        <f t="shared" si="6"/>
        <v>1.6311819688187612E-5</v>
      </c>
      <c r="G68" s="701">
        <f t="shared" si="8"/>
        <v>1.6311819688187612E-5</v>
      </c>
      <c r="H68" s="311">
        <f t="shared" si="10"/>
        <v>0</v>
      </c>
    </row>
    <row r="69" spans="1:8" x14ac:dyDescent="0.25">
      <c r="A69" s="16"/>
      <c r="B69" s="469">
        <f t="shared" si="9"/>
        <v>19</v>
      </c>
      <c r="C69" s="470">
        <v>2</v>
      </c>
      <c r="D69" s="470">
        <f t="shared" si="7"/>
        <v>0</v>
      </c>
      <c r="E69" s="471">
        <f t="shared" si="6"/>
        <v>0</v>
      </c>
      <c r="G69" s="701">
        <f t="shared" si="8"/>
        <v>0</v>
      </c>
      <c r="H69" s="311">
        <f t="shared" si="10"/>
        <v>0</v>
      </c>
    </row>
    <row r="70" spans="1:8" x14ac:dyDescent="0.25">
      <c r="A70" s="16"/>
      <c r="B70" s="469">
        <f t="shared" si="9"/>
        <v>20</v>
      </c>
      <c r="C70" s="470">
        <v>2</v>
      </c>
      <c r="D70" s="470">
        <f t="shared" si="7"/>
        <v>0</v>
      </c>
      <c r="E70" s="471">
        <f t="shared" si="6"/>
        <v>0</v>
      </c>
      <c r="G70" s="701">
        <f t="shared" si="8"/>
        <v>0</v>
      </c>
      <c r="H70" s="311">
        <f t="shared" si="10"/>
        <v>0</v>
      </c>
    </row>
    <row r="71" spans="1:8" x14ac:dyDescent="0.25">
      <c r="A71" s="16"/>
      <c r="B71" s="469">
        <f t="shared" si="9"/>
        <v>21</v>
      </c>
      <c r="C71" s="470">
        <v>2</v>
      </c>
      <c r="D71" s="470">
        <f t="shared" si="7"/>
        <v>0</v>
      </c>
      <c r="E71" s="471">
        <f t="shared" si="6"/>
        <v>0</v>
      </c>
      <c r="G71" s="701">
        <f t="shared" si="8"/>
        <v>0</v>
      </c>
      <c r="H71" s="311">
        <f t="shared" si="10"/>
        <v>0</v>
      </c>
    </row>
    <row r="72" spans="1:8" x14ac:dyDescent="0.25">
      <c r="A72" s="16"/>
      <c r="B72" s="469">
        <f t="shared" si="9"/>
        <v>22</v>
      </c>
      <c r="C72" s="470">
        <v>2</v>
      </c>
      <c r="D72" s="470">
        <f t="shared" si="7"/>
        <v>0</v>
      </c>
      <c r="E72" s="471">
        <f t="shared" si="6"/>
        <v>0</v>
      </c>
      <c r="G72" s="701">
        <f t="shared" si="8"/>
        <v>0</v>
      </c>
      <c r="H72" s="311">
        <f t="shared" si="10"/>
        <v>0</v>
      </c>
    </row>
    <row r="73" spans="1:8" x14ac:dyDescent="0.25">
      <c r="A73" s="16"/>
      <c r="B73" s="469">
        <f t="shared" si="9"/>
        <v>23</v>
      </c>
      <c r="C73" s="470">
        <v>2</v>
      </c>
      <c r="D73" s="470">
        <f t="shared" si="7"/>
        <v>0</v>
      </c>
      <c r="E73" s="471">
        <f t="shared" si="6"/>
        <v>0</v>
      </c>
      <c r="G73" s="701">
        <f t="shared" si="8"/>
        <v>0</v>
      </c>
      <c r="H73" s="311">
        <f t="shared" si="10"/>
        <v>0</v>
      </c>
    </row>
    <row r="74" spans="1:8" x14ac:dyDescent="0.25">
      <c r="A74" s="16"/>
      <c r="B74" s="469">
        <f t="shared" si="9"/>
        <v>24</v>
      </c>
      <c r="C74" s="470">
        <v>2</v>
      </c>
      <c r="D74" s="470">
        <f t="shared" si="7"/>
        <v>0</v>
      </c>
      <c r="E74" s="471">
        <f t="shared" si="6"/>
        <v>0</v>
      </c>
      <c r="G74" s="701">
        <f t="shared" si="8"/>
        <v>0</v>
      </c>
      <c r="H74" s="311">
        <f t="shared" si="10"/>
        <v>0</v>
      </c>
    </row>
    <row r="75" spans="1:8" x14ac:dyDescent="0.25">
      <c r="A75" s="16"/>
      <c r="B75" s="469">
        <f t="shared" si="9"/>
        <v>25</v>
      </c>
      <c r="C75" s="470">
        <v>2</v>
      </c>
      <c r="D75" s="470">
        <f t="shared" si="7"/>
        <v>0</v>
      </c>
      <c r="E75" s="471">
        <f t="shared" si="6"/>
        <v>0</v>
      </c>
      <c r="G75" s="701">
        <f t="shared" si="8"/>
        <v>0</v>
      </c>
      <c r="H75" s="311">
        <f t="shared" si="10"/>
        <v>0</v>
      </c>
    </row>
    <row r="76" spans="1:8" x14ac:dyDescent="0.25">
      <c r="A76" s="16"/>
      <c r="B76" s="469">
        <f t="shared" si="9"/>
        <v>26</v>
      </c>
      <c r="C76" s="470">
        <v>2</v>
      </c>
      <c r="D76" s="470">
        <f t="shared" si="7"/>
        <v>0</v>
      </c>
      <c r="E76" s="471">
        <f t="shared" si="6"/>
        <v>0</v>
      </c>
      <c r="G76" s="701">
        <f t="shared" si="8"/>
        <v>0</v>
      </c>
      <c r="H76" s="311">
        <f t="shared" si="10"/>
        <v>0</v>
      </c>
    </row>
    <row r="77" spans="1:8" x14ac:dyDescent="0.25">
      <c r="A77" s="16"/>
      <c r="B77" s="469">
        <f t="shared" si="9"/>
        <v>27</v>
      </c>
      <c r="C77" s="470">
        <v>2</v>
      </c>
      <c r="D77" s="470">
        <f t="shared" si="7"/>
        <v>0</v>
      </c>
      <c r="E77" s="471">
        <f t="shared" si="6"/>
        <v>0</v>
      </c>
      <c r="G77" s="701">
        <f t="shared" si="8"/>
        <v>0</v>
      </c>
      <c r="H77" s="311">
        <f t="shared" si="10"/>
        <v>0</v>
      </c>
    </row>
    <row r="78" spans="1:8" x14ac:dyDescent="0.25">
      <c r="A78" s="16"/>
      <c r="B78" s="469">
        <f t="shared" si="9"/>
        <v>28</v>
      </c>
      <c r="C78" s="470">
        <v>2</v>
      </c>
      <c r="D78" s="470">
        <f t="shared" si="7"/>
        <v>0</v>
      </c>
      <c r="E78" s="471">
        <f t="shared" si="6"/>
        <v>0</v>
      </c>
      <c r="G78" s="701">
        <f t="shared" si="8"/>
        <v>0</v>
      </c>
      <c r="H78" s="311">
        <f t="shared" si="10"/>
        <v>0</v>
      </c>
    </row>
    <row r="79" spans="1:8" x14ac:dyDescent="0.25">
      <c r="A79" s="16"/>
      <c r="B79" s="469">
        <f t="shared" si="9"/>
        <v>29</v>
      </c>
      <c r="C79" s="470">
        <v>2</v>
      </c>
      <c r="D79" s="470">
        <f t="shared" si="7"/>
        <v>0</v>
      </c>
      <c r="E79" s="471">
        <f t="shared" si="6"/>
        <v>0</v>
      </c>
      <c r="G79" s="701">
        <f t="shared" si="8"/>
        <v>0</v>
      </c>
      <c r="H79" s="311">
        <f t="shared" si="10"/>
        <v>0</v>
      </c>
    </row>
    <row r="80" spans="1:8" x14ac:dyDescent="0.25">
      <c r="A80" s="16"/>
      <c r="B80" s="469">
        <f t="shared" si="9"/>
        <v>30</v>
      </c>
      <c r="C80" s="470">
        <v>2</v>
      </c>
      <c r="D80" s="470">
        <f t="shared" si="7"/>
        <v>0</v>
      </c>
      <c r="E80" s="471">
        <f t="shared" si="6"/>
        <v>0</v>
      </c>
      <c r="G80" s="701">
        <f t="shared" si="8"/>
        <v>0</v>
      </c>
      <c r="H80" s="311">
        <f t="shared" si="10"/>
        <v>0</v>
      </c>
    </row>
  </sheetData>
  <pageMargins left="0.7" right="0.7" top="0.75" bottom="0.75" header="0.3" footer="0.3"/>
  <pageSetup paperSize="9" orientation="portrait" horizontalDpi="4294967292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D66B88-A249-41CC-A45C-7E77C4B5EC2B}">
  <dimension ref="A1:H44"/>
  <sheetViews>
    <sheetView showGridLines="0" zoomScale="75" zoomScaleNormal="75" workbookViewId="0">
      <selection activeCell="E12" sqref="E12:F15"/>
    </sheetView>
  </sheetViews>
  <sheetFormatPr baseColWidth="10" defaultRowHeight="15" x14ac:dyDescent="0.25"/>
  <cols>
    <col min="1" max="1" width="25.140625" customWidth="1"/>
    <col min="2" max="2" width="33" customWidth="1"/>
    <col min="3" max="3" width="11.5703125" bestFit="1" customWidth="1"/>
    <col min="4" max="4" width="13.5703125" customWidth="1"/>
    <col min="5" max="5" width="15.28515625" customWidth="1"/>
    <col min="6" max="6" width="7.42578125" customWidth="1"/>
    <col min="7" max="7" width="13.28515625" customWidth="1"/>
    <col min="8" max="8" width="14.42578125" customWidth="1"/>
  </cols>
  <sheetData>
    <row r="1" spans="1:8" ht="36" customHeight="1" x14ac:dyDescent="0.25">
      <c r="A1" s="681" t="s">
        <v>948</v>
      </c>
      <c r="G1" s="647" t="s">
        <v>949</v>
      </c>
      <c r="H1" s="648" t="s">
        <v>950</v>
      </c>
    </row>
    <row r="2" spans="1:8" ht="15.75" x14ac:dyDescent="0.25">
      <c r="B2" s="682"/>
      <c r="C2" s="678" t="s">
        <v>1189</v>
      </c>
      <c r="D2" s="18"/>
      <c r="E2" s="18"/>
      <c r="F2" s="18"/>
      <c r="G2" s="16"/>
      <c r="H2" s="16"/>
    </row>
    <row r="3" spans="1:8" x14ac:dyDescent="0.25">
      <c r="B3" s="676" t="s">
        <v>1275</v>
      </c>
      <c r="C3" s="558"/>
      <c r="D3" s="669"/>
      <c r="E3" s="703">
        <f>E4+E17</f>
        <v>2.00008541801507</v>
      </c>
      <c r="F3" s="704" t="s">
        <v>85</v>
      </c>
      <c r="G3" s="707">
        <f>G4+G17</f>
        <v>1.9999044929815388</v>
      </c>
      <c r="H3" s="311">
        <f t="shared" ref="H3:H23" si="0">G3-E3</f>
        <v>-1.8092503353117628E-4</v>
      </c>
    </row>
    <row r="4" spans="1:8" ht="15.75" x14ac:dyDescent="0.25">
      <c r="A4" s="16"/>
      <c r="B4" s="569" t="s">
        <v>1190</v>
      </c>
      <c r="C4" s="460"/>
      <c r="D4" s="675" t="s">
        <v>1032</v>
      </c>
      <c r="E4" s="674">
        <f>E10+SUM(E13:E15)</f>
        <v>0.52248742272385529</v>
      </c>
      <c r="F4" s="683" t="s">
        <v>85</v>
      </c>
      <c r="G4" s="707">
        <f>G10+SUM(G13:G15)</f>
        <v>0.52244066928360278</v>
      </c>
      <c r="H4" s="311">
        <f t="shared" si="0"/>
        <v>-4.6753440252511602E-5</v>
      </c>
    </row>
    <row r="5" spans="1:8" ht="18.75" x14ac:dyDescent="0.35">
      <c r="A5" s="16"/>
      <c r="B5" s="306" t="s">
        <v>1033</v>
      </c>
      <c r="C5" s="548" t="s">
        <v>1034</v>
      </c>
      <c r="D5" s="548" t="s">
        <v>1035</v>
      </c>
      <c r="E5" s="322">
        <v>150</v>
      </c>
      <c r="F5" s="684"/>
      <c r="G5" s="708">
        <v>150</v>
      </c>
      <c r="H5" s="311">
        <f t="shared" si="0"/>
        <v>0</v>
      </c>
    </row>
    <row r="6" spans="1:8" x14ac:dyDescent="0.25">
      <c r="A6" s="500" t="s">
        <v>1132</v>
      </c>
      <c r="B6" s="275" t="s">
        <v>1191</v>
      </c>
      <c r="C6" s="273"/>
      <c r="D6" s="18"/>
      <c r="E6" s="276">
        <f>'Planta USA'!E82</f>
        <v>7.6770593678514008</v>
      </c>
      <c r="F6" s="684" t="s">
        <v>64</v>
      </c>
      <c r="G6" s="709">
        <f>'Planta USA'!G82</f>
        <v>7.6767108066478817</v>
      </c>
      <c r="H6" s="311">
        <f t="shared" si="0"/>
        <v>-3.4856120351900444E-4</v>
      </c>
    </row>
    <row r="7" spans="1:8" x14ac:dyDescent="0.25">
      <c r="A7" s="16"/>
      <c r="B7" s="728" t="s">
        <v>875</v>
      </c>
      <c r="C7" s="729"/>
      <c r="D7" s="730"/>
      <c r="E7" s="731">
        <f>2+0.45+0.6</f>
        <v>3.0500000000000003</v>
      </c>
      <c r="F7" s="732" t="s">
        <v>252</v>
      </c>
      <c r="G7" s="311">
        <f>2+0.45+0.6</f>
        <v>3.0500000000000003</v>
      </c>
      <c r="H7" s="311">
        <f t="shared" si="0"/>
        <v>0</v>
      </c>
    </row>
    <row r="8" spans="1:8" x14ac:dyDescent="0.25">
      <c r="A8" s="16"/>
      <c r="B8" s="733" t="s">
        <v>1037</v>
      </c>
      <c r="C8" s="729"/>
      <c r="D8" s="730"/>
      <c r="E8" s="731">
        <v>3</v>
      </c>
      <c r="F8" s="734" t="s">
        <v>129</v>
      </c>
      <c r="G8" s="311">
        <v>3</v>
      </c>
      <c r="H8" s="311">
        <f t="shared" si="0"/>
        <v>0</v>
      </c>
    </row>
    <row r="9" spans="1:8" x14ac:dyDescent="0.25">
      <c r="A9" s="16"/>
      <c r="B9" s="541" t="s">
        <v>1038</v>
      </c>
      <c r="C9" s="315"/>
      <c r="D9" s="18"/>
      <c r="E9" s="278">
        <f>0.001*E6/(0.25*3.14*(0.0254*E8)^2)</f>
        <v>1.6842839092853945</v>
      </c>
      <c r="F9" s="548" t="s">
        <v>131</v>
      </c>
      <c r="G9" s="687">
        <f>0.001*G6/(0.25*3.14*(0.0254*G8)^2)</f>
        <v>1.6842074378139158</v>
      </c>
      <c r="H9" s="311">
        <f t="shared" si="0"/>
        <v>-7.6471471478711806E-5</v>
      </c>
    </row>
    <row r="10" spans="1:8" x14ac:dyDescent="0.25">
      <c r="A10" s="568" t="s">
        <v>1211</v>
      </c>
      <c r="B10" s="542" t="s">
        <v>851</v>
      </c>
      <c r="C10" s="543"/>
      <c r="D10" s="18"/>
      <c r="E10" s="216">
        <f>(10.672*E7*(0.001*E6/E5)^1.852)/(0.0254*E8)^4.871</f>
        <v>0.10275499249297243</v>
      </c>
      <c r="F10" s="602" t="s">
        <v>85</v>
      </c>
      <c r="G10" s="620">
        <f>(10.672*G7*(0.001*G6/G5)^1.852)/(0.0254*G8)^4.871</f>
        <v>0.10274635237521638</v>
      </c>
      <c r="H10" s="311">
        <f t="shared" si="0"/>
        <v>-8.6401177560452291E-6</v>
      </c>
    </row>
    <row r="11" spans="1:8" x14ac:dyDescent="0.25">
      <c r="A11" s="16"/>
      <c r="B11" s="541" t="s">
        <v>866</v>
      </c>
      <c r="C11" s="315"/>
      <c r="D11" s="18"/>
      <c r="E11" s="278">
        <f>E9^2/19.6</f>
        <v>0.14473532076926995</v>
      </c>
      <c r="F11" s="548" t="s">
        <v>85</v>
      </c>
      <c r="G11" s="687">
        <f>G9^2/19.6</f>
        <v>0.14472217824427117</v>
      </c>
      <c r="H11" s="311">
        <f t="shared" si="0"/>
        <v>-1.3142524998788208E-5</v>
      </c>
    </row>
    <row r="12" spans="1:8" ht="29.25" x14ac:dyDescent="0.25">
      <c r="A12" s="16"/>
      <c r="B12" s="549" t="s">
        <v>867</v>
      </c>
      <c r="C12" s="769" t="s">
        <v>1007</v>
      </c>
      <c r="D12" s="770" t="s">
        <v>1039</v>
      </c>
      <c r="E12" s="772" t="s">
        <v>1276</v>
      </c>
      <c r="F12" s="773"/>
      <c r="G12" s="771" t="s">
        <v>1276</v>
      </c>
      <c r="H12" s="16"/>
    </row>
    <row r="13" spans="1:8" x14ac:dyDescent="0.25">
      <c r="A13" s="500" t="s">
        <v>1185</v>
      </c>
      <c r="B13" s="306" t="s">
        <v>1042</v>
      </c>
      <c r="C13" s="553">
        <v>1.8</v>
      </c>
      <c r="D13" s="554">
        <v>1</v>
      </c>
      <c r="E13" s="276">
        <f>C13*D13*E11</f>
        <v>0.2605235773846859</v>
      </c>
      <c r="F13" s="683" t="s">
        <v>85</v>
      </c>
      <c r="G13" s="311">
        <f>C13*D13*G11</f>
        <v>0.26049992083968809</v>
      </c>
      <c r="H13" s="311">
        <f t="shared" si="0"/>
        <v>-2.3656544997807671E-5</v>
      </c>
    </row>
    <row r="14" spans="1:8" x14ac:dyDescent="0.25">
      <c r="A14" s="500" t="s">
        <v>1185</v>
      </c>
      <c r="B14" s="306" t="s">
        <v>1192</v>
      </c>
      <c r="C14" s="553">
        <v>0.9</v>
      </c>
      <c r="D14" s="554">
        <v>1</v>
      </c>
      <c r="E14" s="276">
        <f>C14*D14*E11</f>
        <v>0.13026178869234295</v>
      </c>
      <c r="F14" s="683" t="s">
        <v>85</v>
      </c>
      <c r="G14" s="311">
        <f>C14*D14*G11</f>
        <v>0.13024996041984405</v>
      </c>
      <c r="H14" s="311">
        <f t="shared" si="0"/>
        <v>-1.1828272498903836E-5</v>
      </c>
    </row>
    <row r="15" spans="1:8" x14ac:dyDescent="0.25">
      <c r="A15" s="500" t="s">
        <v>1185</v>
      </c>
      <c r="B15" s="306" t="s">
        <v>1193</v>
      </c>
      <c r="C15" s="553">
        <v>0.2</v>
      </c>
      <c r="D15" s="554">
        <v>1</v>
      </c>
      <c r="E15" s="276">
        <f>C15*D15*E11</f>
        <v>2.8947064153853994E-2</v>
      </c>
      <c r="F15" s="683" t="s">
        <v>85</v>
      </c>
      <c r="G15" s="311">
        <f>C15*D15*G11</f>
        <v>2.8944435648854235E-2</v>
      </c>
      <c r="H15" s="311">
        <f t="shared" si="0"/>
        <v>-2.6285049997583354E-6</v>
      </c>
    </row>
    <row r="16" spans="1:8" x14ac:dyDescent="0.25">
      <c r="A16" s="500"/>
      <c r="C16" s="540"/>
      <c r="D16" s="670"/>
      <c r="E16" s="671"/>
      <c r="F16" s="297"/>
      <c r="G16" s="470"/>
      <c r="H16" s="311"/>
    </row>
    <row r="17" spans="1:8" ht="15.75" x14ac:dyDescent="0.25">
      <c r="A17" s="16"/>
      <c r="B17" s="569" t="s">
        <v>1194</v>
      </c>
      <c r="C17" s="460"/>
      <c r="D17" s="677" t="s">
        <v>1032</v>
      </c>
      <c r="E17" s="673">
        <f>E23</f>
        <v>1.4775979952912146</v>
      </c>
      <c r="F17" s="683" t="s">
        <v>85</v>
      </c>
      <c r="G17" s="710">
        <f>G23</f>
        <v>1.4774638236979361</v>
      </c>
      <c r="H17" s="311">
        <f t="shared" si="0"/>
        <v>-1.3417159327855366E-4</v>
      </c>
    </row>
    <row r="18" spans="1:8" x14ac:dyDescent="0.25">
      <c r="A18" s="500" t="s">
        <v>1132</v>
      </c>
      <c r="B18" s="275" t="s">
        <v>94</v>
      </c>
      <c r="C18" s="460"/>
      <c r="D18" s="18"/>
      <c r="E18" s="468">
        <f>'Planta USA'!E77</f>
        <v>3</v>
      </c>
      <c r="F18" s="686" t="s">
        <v>129</v>
      </c>
      <c r="G18" s="711">
        <f>'Planta USA'!G77</f>
        <v>3</v>
      </c>
      <c r="H18" s="311">
        <f t="shared" si="0"/>
        <v>0</v>
      </c>
    </row>
    <row r="19" spans="1:8" x14ac:dyDescent="0.25">
      <c r="A19" s="16"/>
      <c r="B19" s="275" t="s">
        <v>1191</v>
      </c>
      <c r="C19" s="273"/>
      <c r="D19" s="18"/>
      <c r="E19" s="310">
        <f>E6</f>
        <v>7.6770593678514008</v>
      </c>
      <c r="F19" s="502" t="s">
        <v>64</v>
      </c>
      <c r="G19" s="712">
        <f>G6</f>
        <v>7.6767108066478817</v>
      </c>
      <c r="H19" s="311">
        <f t="shared" si="0"/>
        <v>-3.4856120351900444E-4</v>
      </c>
    </row>
    <row r="20" spans="1:8" x14ac:dyDescent="0.25">
      <c r="A20" s="500" t="s">
        <v>1210</v>
      </c>
      <c r="B20" s="272" t="s">
        <v>1195</v>
      </c>
      <c r="C20" s="273"/>
      <c r="D20" s="18"/>
      <c r="E20" s="468">
        <f>'Válvula de Flotador'!B6</f>
        <v>43</v>
      </c>
      <c r="F20" s="685" t="s">
        <v>253</v>
      </c>
      <c r="G20" s="711">
        <f>'Válvula de Flotador'!B6</f>
        <v>43</v>
      </c>
      <c r="H20" s="311">
        <f t="shared" si="0"/>
        <v>0</v>
      </c>
    </row>
    <row r="21" spans="1:8" x14ac:dyDescent="0.25">
      <c r="A21" s="16"/>
      <c r="B21" s="541" t="s">
        <v>1038</v>
      </c>
      <c r="C21" s="315"/>
      <c r="D21" s="18"/>
      <c r="E21" s="278">
        <f>0.001*E19/(3.14*(0.001*E20)^2/4)</f>
        <v>5.2891798065068052</v>
      </c>
      <c r="F21" s="548" t="s">
        <v>131</v>
      </c>
      <c r="G21" s="687">
        <f>0.001*G19/(3.14*(0.001*G20)^2/4)</f>
        <v>5.2889396620985556</v>
      </c>
      <c r="H21" s="311">
        <f t="shared" si="0"/>
        <v>-2.4014440824959848E-4</v>
      </c>
    </row>
    <row r="22" spans="1:8" x14ac:dyDescent="0.25">
      <c r="A22" s="500" t="s">
        <v>1210</v>
      </c>
      <c r="B22" s="541" t="s">
        <v>1196</v>
      </c>
      <c r="C22" s="315" t="s">
        <v>1007</v>
      </c>
      <c r="D22" s="18"/>
      <c r="E22" s="278">
        <f>'Válvula de Flotador'!F19</f>
        <v>1.0352272664920226</v>
      </c>
      <c r="F22" s="548"/>
      <c r="G22" s="687">
        <f>'Válvula de Flotador'!F19</f>
        <v>1.0352272664920226</v>
      </c>
      <c r="H22" s="311">
        <f t="shared" si="0"/>
        <v>0</v>
      </c>
    </row>
    <row r="23" spans="1:8" x14ac:dyDescent="0.25">
      <c r="A23" s="500" t="s">
        <v>1212</v>
      </c>
      <c r="B23" s="542" t="s">
        <v>1197</v>
      </c>
      <c r="C23" s="543"/>
      <c r="D23" s="18"/>
      <c r="E23" s="216">
        <f>E22*E21^2/19.6</f>
        <v>1.4775979952912146</v>
      </c>
      <c r="F23" s="602" t="s">
        <v>85</v>
      </c>
      <c r="G23" s="620">
        <f>G22*G21^2/19.6</f>
        <v>1.4774638236979361</v>
      </c>
      <c r="H23" s="311">
        <f t="shared" si="0"/>
        <v>-1.3417159327855366E-4</v>
      </c>
    </row>
    <row r="24" spans="1:8" x14ac:dyDescent="0.25">
      <c r="A24" s="568"/>
      <c r="B24" s="679"/>
      <c r="C24" s="680"/>
      <c r="D24" s="231"/>
      <c r="E24" s="192"/>
      <c r="G24" s="192"/>
    </row>
    <row r="25" spans="1:8" ht="15.75" x14ac:dyDescent="0.25">
      <c r="B25" s="682"/>
      <c r="C25" s="678" t="s">
        <v>1233</v>
      </c>
      <c r="D25" s="18"/>
      <c r="E25" s="18"/>
      <c r="F25" s="176"/>
      <c r="G25" s="18"/>
      <c r="H25" s="16"/>
    </row>
    <row r="26" spans="1:8" x14ac:dyDescent="0.25">
      <c r="A26" s="567"/>
      <c r="B26" s="676" t="s">
        <v>1275</v>
      </c>
      <c r="C26" s="558"/>
      <c r="D26" s="669"/>
      <c r="E26" s="703">
        <f>E34+E40+SUM(E43:E44)</f>
        <v>1.7995018101698343</v>
      </c>
      <c r="F26" s="705" t="s">
        <v>85</v>
      </c>
      <c r="G26" s="674">
        <f>G34+G40+SUM(G43:G44)</f>
        <v>1.7995018101698343</v>
      </c>
      <c r="H26" s="311">
        <f t="shared" ref="H26:H44" si="1">G26-E26</f>
        <v>0</v>
      </c>
    </row>
    <row r="27" spans="1:8" x14ac:dyDescent="0.25">
      <c r="A27" s="568" t="s">
        <v>1132</v>
      </c>
      <c r="B27" s="275" t="s">
        <v>1241</v>
      </c>
      <c r="C27" s="273"/>
      <c r="D27" s="18"/>
      <c r="E27" s="310">
        <f>'Planta USA'!E91</f>
        <v>21.629644446420478</v>
      </c>
      <c r="F27" s="369" t="s">
        <v>64</v>
      </c>
      <c r="G27" s="310">
        <f>'Planta USA'!G91</f>
        <v>21.629644446420478</v>
      </c>
      <c r="H27" s="311">
        <f t="shared" si="1"/>
        <v>0</v>
      </c>
    </row>
    <row r="28" spans="1:8" x14ac:dyDescent="0.25">
      <c r="A28" s="16"/>
      <c r="B28" s="735" t="s">
        <v>1242</v>
      </c>
      <c r="C28" s="729"/>
      <c r="D28" s="730"/>
      <c r="E28" s="736">
        <v>2</v>
      </c>
      <c r="F28" s="737" t="s">
        <v>1243</v>
      </c>
      <c r="G28" s="322">
        <v>2</v>
      </c>
      <c r="H28" s="311">
        <f t="shared" si="1"/>
        <v>0</v>
      </c>
    </row>
    <row r="29" spans="1:8" ht="18.75" x14ac:dyDescent="0.35">
      <c r="A29" s="16"/>
      <c r="B29" s="588" t="s">
        <v>1238</v>
      </c>
      <c r="C29" s="548" t="s">
        <v>1034</v>
      </c>
      <c r="D29" s="548" t="s">
        <v>1035</v>
      </c>
      <c r="E29" s="322">
        <v>150</v>
      </c>
      <c r="F29" s="672"/>
      <c r="G29" s="322">
        <v>150</v>
      </c>
      <c r="H29" s="311">
        <f t="shared" si="1"/>
        <v>0</v>
      </c>
    </row>
    <row r="30" spans="1:8" x14ac:dyDescent="0.25">
      <c r="A30" s="16"/>
      <c r="B30" s="275" t="s">
        <v>1191</v>
      </c>
      <c r="C30" s="18"/>
      <c r="D30" s="273"/>
      <c r="E30" s="276">
        <f>E27/E28</f>
        <v>10.814822223210239</v>
      </c>
      <c r="F30" s="369" t="s">
        <v>64</v>
      </c>
      <c r="G30" s="276">
        <f>G27/G28</f>
        <v>10.814822223210239</v>
      </c>
      <c r="H30" s="311">
        <f t="shared" si="1"/>
        <v>0</v>
      </c>
    </row>
    <row r="31" spans="1:8" x14ac:dyDescent="0.25">
      <c r="A31" s="16"/>
      <c r="B31" s="728" t="s">
        <v>875</v>
      </c>
      <c r="C31" s="730"/>
      <c r="D31" s="729"/>
      <c r="E31" s="731">
        <f>3.6</f>
        <v>3.6</v>
      </c>
      <c r="F31" s="737" t="s">
        <v>252</v>
      </c>
      <c r="G31" s="276">
        <f>3.6</f>
        <v>3.6</v>
      </c>
      <c r="H31" s="311">
        <f t="shared" si="1"/>
        <v>0</v>
      </c>
    </row>
    <row r="32" spans="1:8" x14ac:dyDescent="0.25">
      <c r="A32" s="16"/>
      <c r="B32" s="733" t="s">
        <v>1037</v>
      </c>
      <c r="C32" s="730"/>
      <c r="D32" s="729"/>
      <c r="E32" s="738">
        <v>3</v>
      </c>
      <c r="F32" s="739" t="s">
        <v>129</v>
      </c>
      <c r="G32" s="468">
        <v>3</v>
      </c>
      <c r="H32" s="311">
        <f t="shared" si="1"/>
        <v>0</v>
      </c>
    </row>
    <row r="33" spans="1:8" x14ac:dyDescent="0.25">
      <c r="A33" s="16"/>
      <c r="B33" s="541" t="s">
        <v>1038</v>
      </c>
      <c r="C33" s="18"/>
      <c r="D33" s="315"/>
      <c r="E33" s="278">
        <f>0.001*E30/(0.25*3.14*(0.0254*E32)^2)</f>
        <v>2.3726833647546806</v>
      </c>
      <c r="F33" s="313" t="s">
        <v>131</v>
      </c>
      <c r="G33" s="278">
        <f>0.001*G30/(0.25*3.14*(0.0254*G32)^2)</f>
        <v>2.3726833647546806</v>
      </c>
      <c r="H33" s="311">
        <f t="shared" si="1"/>
        <v>0</v>
      </c>
    </row>
    <row r="34" spans="1:8" x14ac:dyDescent="0.25">
      <c r="A34" s="568" t="s">
        <v>1211</v>
      </c>
      <c r="B34" s="542" t="s">
        <v>1240</v>
      </c>
      <c r="C34" s="18"/>
      <c r="D34" s="543"/>
      <c r="E34" s="216">
        <f>(10.672*E31*(0.001*E27/E29)^1.852)/(0.0254*E32)^4.871</f>
        <v>0.82591640553141354</v>
      </c>
      <c r="F34" s="191" t="s">
        <v>85</v>
      </c>
      <c r="G34" s="216">
        <f>(10.672*G31*(0.001*G27/G29)^1.852)/(0.0254*G32)^4.871</f>
        <v>0.82591640553141354</v>
      </c>
      <c r="H34" s="311">
        <f t="shared" si="1"/>
        <v>0</v>
      </c>
    </row>
    <row r="35" spans="1:8" ht="18.75" x14ac:dyDescent="0.35">
      <c r="A35" s="16"/>
      <c r="B35" s="588" t="s">
        <v>1239</v>
      </c>
      <c r="C35" s="548" t="s">
        <v>1034</v>
      </c>
      <c r="D35" s="548" t="s">
        <v>1035</v>
      </c>
      <c r="E35" s="255">
        <v>200</v>
      </c>
      <c r="F35" s="191"/>
      <c r="G35" s="255">
        <v>200</v>
      </c>
      <c r="H35" s="311">
        <f t="shared" si="1"/>
        <v>0</v>
      </c>
    </row>
    <row r="36" spans="1:8" x14ac:dyDescent="0.25">
      <c r="A36" s="16"/>
      <c r="B36" s="275" t="s">
        <v>1191</v>
      </c>
      <c r="C36" s="18"/>
      <c r="D36" s="273"/>
      <c r="E36" s="276">
        <f>E27/E28</f>
        <v>10.814822223210239</v>
      </c>
      <c r="F36" s="369" t="s">
        <v>64</v>
      </c>
      <c r="G36" s="276">
        <f>G27/G28</f>
        <v>10.814822223210239</v>
      </c>
      <c r="H36" s="311">
        <f t="shared" si="1"/>
        <v>0</v>
      </c>
    </row>
    <row r="37" spans="1:8" x14ac:dyDescent="0.25">
      <c r="A37" s="16"/>
      <c r="B37" s="728" t="s">
        <v>875</v>
      </c>
      <c r="C37" s="730"/>
      <c r="D37" s="729"/>
      <c r="E37" s="731">
        <v>3</v>
      </c>
      <c r="F37" s="737" t="s">
        <v>252</v>
      </c>
      <c r="G37" s="276">
        <v>3</v>
      </c>
      <c r="H37" s="311">
        <f t="shared" si="1"/>
        <v>0</v>
      </c>
    </row>
    <row r="38" spans="1:8" x14ac:dyDescent="0.25">
      <c r="A38" s="16"/>
      <c r="B38" s="733" t="s">
        <v>1037</v>
      </c>
      <c r="C38" s="730"/>
      <c r="D38" s="729"/>
      <c r="E38" s="738">
        <v>3</v>
      </c>
      <c r="F38" s="739" t="s">
        <v>129</v>
      </c>
      <c r="G38" s="468">
        <v>3</v>
      </c>
      <c r="H38" s="311">
        <f t="shared" si="1"/>
        <v>0</v>
      </c>
    </row>
    <row r="39" spans="1:8" x14ac:dyDescent="0.25">
      <c r="A39" s="16"/>
      <c r="B39" s="541" t="s">
        <v>1038</v>
      </c>
      <c r="C39" s="18"/>
      <c r="D39" s="315"/>
      <c r="E39" s="278">
        <f>0.001*E36/(0.25*3.14*(0.0254*E38)^2)</f>
        <v>2.3726833647546806</v>
      </c>
      <c r="F39" s="313" t="s">
        <v>131</v>
      </c>
      <c r="G39" s="278">
        <f>0.001*G36/(0.25*3.14*(0.0254*G38)^2)</f>
        <v>2.3726833647546806</v>
      </c>
      <c r="H39" s="311">
        <f t="shared" si="1"/>
        <v>0</v>
      </c>
    </row>
    <row r="40" spans="1:8" x14ac:dyDescent="0.25">
      <c r="A40" s="568" t="s">
        <v>1211</v>
      </c>
      <c r="B40" s="542" t="s">
        <v>1240</v>
      </c>
      <c r="C40" s="18"/>
      <c r="D40" s="543"/>
      <c r="E40" s="216">
        <f>(10.672*E37*(0.001*E36/E35)^1.852)/(0.0254*E38)^4.871</f>
        <v>0.11190790218174851</v>
      </c>
      <c r="F40" s="191" t="s">
        <v>85</v>
      </c>
      <c r="G40" s="216">
        <f>(10.672*G37*(0.001*G36/G35)^1.852)/(0.0254*G38)^4.871</f>
        <v>0.11190790218174851</v>
      </c>
      <c r="H40" s="311">
        <f t="shared" si="1"/>
        <v>0</v>
      </c>
    </row>
    <row r="41" spans="1:8" x14ac:dyDescent="0.25">
      <c r="A41" s="16"/>
      <c r="B41" s="541" t="s">
        <v>866</v>
      </c>
      <c r="C41" s="18"/>
      <c r="D41" s="315"/>
      <c r="E41" s="278">
        <f>E33^2/19.6</f>
        <v>0.28722583415222408</v>
      </c>
      <c r="F41" s="313" t="s">
        <v>85</v>
      </c>
      <c r="G41" s="278">
        <f>G33^2/19.6</f>
        <v>0.28722583415222408</v>
      </c>
      <c r="H41" s="311">
        <f t="shared" si="1"/>
        <v>0</v>
      </c>
    </row>
    <row r="42" spans="1:8" ht="30" x14ac:dyDescent="0.25">
      <c r="A42" s="16"/>
      <c r="B42" s="549" t="s">
        <v>867</v>
      </c>
      <c r="C42" s="536" t="s">
        <v>1007</v>
      </c>
      <c r="D42" s="536" t="s">
        <v>1039</v>
      </c>
      <c r="E42" s="688" t="s">
        <v>1276</v>
      </c>
      <c r="F42" s="689"/>
      <c r="G42" s="688" t="s">
        <v>1276</v>
      </c>
      <c r="H42" s="690"/>
    </row>
    <row r="43" spans="1:8" x14ac:dyDescent="0.25">
      <c r="A43" s="500" t="s">
        <v>1185</v>
      </c>
      <c r="B43" s="306" t="s">
        <v>1042</v>
      </c>
      <c r="C43" s="553">
        <v>1.8</v>
      </c>
      <c r="D43" s="554">
        <v>1</v>
      </c>
      <c r="E43" s="276">
        <f>C43*D43*E41</f>
        <v>0.5170065014740034</v>
      </c>
      <c r="F43" s="461" t="s">
        <v>85</v>
      </c>
      <c r="G43" s="276">
        <f>C43*D43*G41</f>
        <v>0.5170065014740034</v>
      </c>
      <c r="H43" s="311">
        <f t="shared" si="1"/>
        <v>0</v>
      </c>
    </row>
    <row r="44" spans="1:8" x14ac:dyDescent="0.25">
      <c r="A44" s="500"/>
      <c r="B44" s="306" t="s">
        <v>1244</v>
      </c>
      <c r="C44" s="553">
        <v>1.2</v>
      </c>
      <c r="D44" s="554">
        <v>1</v>
      </c>
      <c r="E44" s="276">
        <f>C44*D44*E41</f>
        <v>0.3446710009826689</v>
      </c>
      <c r="F44" s="461" t="s">
        <v>85</v>
      </c>
      <c r="G44" s="276">
        <f>C44*D44*G41</f>
        <v>0.3446710009826689</v>
      </c>
      <c r="H44" s="311">
        <f t="shared" si="1"/>
        <v>0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501400-BEDE-4C47-ABAD-02F5BA50387B}">
  <dimension ref="A1:G35"/>
  <sheetViews>
    <sheetView showGridLines="0" zoomScale="75" zoomScaleNormal="75" workbookViewId="0">
      <selection activeCell="K31" sqref="K31"/>
    </sheetView>
  </sheetViews>
  <sheetFormatPr baseColWidth="10" defaultRowHeight="15" x14ac:dyDescent="0.25"/>
  <cols>
    <col min="1" max="1" width="19.7109375" style="14" customWidth="1"/>
    <col min="2" max="2" width="15.140625" style="14" customWidth="1"/>
    <col min="3" max="3" width="6.42578125" style="14" customWidth="1"/>
    <col min="4" max="4" width="10.7109375" customWidth="1"/>
    <col min="5" max="5" width="5.7109375" customWidth="1"/>
    <col min="6" max="9" width="10.7109375" customWidth="1"/>
  </cols>
  <sheetData>
    <row r="1" spans="1:7" ht="38.25" customHeight="1" x14ac:dyDescent="0.25">
      <c r="A1" s="830" t="s">
        <v>990</v>
      </c>
      <c r="B1" s="831"/>
      <c r="C1" s="389"/>
      <c r="D1" s="224"/>
      <c r="E1" s="167"/>
    </row>
    <row r="2" spans="1:7" ht="30" x14ac:dyDescent="0.25">
      <c r="A2" s="390" t="s">
        <v>991</v>
      </c>
      <c r="B2" s="391" t="s">
        <v>992</v>
      </c>
      <c r="C2" s="392"/>
      <c r="D2" s="832"/>
      <c r="E2" s="833"/>
      <c r="F2" s="167"/>
      <c r="G2" s="167"/>
    </row>
    <row r="3" spans="1:7" ht="24" customHeight="1" x14ac:dyDescent="0.25">
      <c r="A3" s="393">
        <v>1</v>
      </c>
      <c r="B3" s="394">
        <v>14.3</v>
      </c>
      <c r="C3" s="392"/>
      <c r="D3" s="395"/>
      <c r="E3" s="155"/>
      <c r="F3" s="167"/>
      <c r="G3" s="167"/>
    </row>
    <row r="4" spans="1:7" x14ac:dyDescent="0.25">
      <c r="A4" s="393">
        <v>1.5</v>
      </c>
      <c r="B4" s="394">
        <v>24</v>
      </c>
      <c r="C4" s="392"/>
      <c r="D4" s="396"/>
      <c r="E4" s="174"/>
    </row>
    <row r="5" spans="1:7" x14ac:dyDescent="0.25">
      <c r="A5" s="393">
        <v>2</v>
      </c>
      <c r="B5" s="394">
        <v>27.5</v>
      </c>
      <c r="C5" s="392"/>
      <c r="D5" s="396"/>
      <c r="E5" s="174"/>
    </row>
    <row r="6" spans="1:7" x14ac:dyDescent="0.25">
      <c r="A6" s="393">
        <v>3</v>
      </c>
      <c r="B6" s="394">
        <v>43</v>
      </c>
      <c r="C6" s="392"/>
      <c r="D6" s="396"/>
      <c r="E6" s="174"/>
    </row>
    <row r="8" spans="1:7" x14ac:dyDescent="0.25">
      <c r="A8" s="834" t="s">
        <v>993</v>
      </c>
      <c r="B8" s="834"/>
      <c r="C8" s="835"/>
      <c r="D8" s="835"/>
      <c r="E8" s="835"/>
      <c r="F8" s="835"/>
      <c r="G8" s="835"/>
    </row>
    <row r="9" spans="1:7" x14ac:dyDescent="0.25">
      <c r="A9" s="397" t="s">
        <v>994</v>
      </c>
      <c r="B9" s="398">
        <v>1.5</v>
      </c>
      <c r="C9" s="399" t="s">
        <v>129</v>
      </c>
      <c r="D9" s="400">
        <v>2</v>
      </c>
      <c r="E9" s="401" t="s">
        <v>129</v>
      </c>
      <c r="F9" s="398">
        <v>3</v>
      </c>
      <c r="G9" s="399" t="s">
        <v>129</v>
      </c>
    </row>
    <row r="10" spans="1:7" x14ac:dyDescent="0.25">
      <c r="A10" s="397" t="s">
        <v>995</v>
      </c>
      <c r="B10" s="398">
        <v>10</v>
      </c>
      <c r="C10" s="399" t="s">
        <v>384</v>
      </c>
      <c r="D10" s="400">
        <v>10</v>
      </c>
      <c r="E10" s="401" t="s">
        <v>384</v>
      </c>
      <c r="F10" s="398">
        <v>10</v>
      </c>
      <c r="G10" s="399" t="s">
        <v>384</v>
      </c>
    </row>
    <row r="11" spans="1:7" x14ac:dyDescent="0.25">
      <c r="A11" s="402"/>
      <c r="B11" s="403">
        <f>B10*0.707</f>
        <v>7.0699999999999994</v>
      </c>
      <c r="C11" s="382" t="s">
        <v>85</v>
      </c>
      <c r="D11" s="19">
        <f>D10*0.707</f>
        <v>7.0699999999999994</v>
      </c>
      <c r="E11" s="19" t="s">
        <v>85</v>
      </c>
      <c r="F11" s="403">
        <f>F10*0.707</f>
        <v>7.0699999999999994</v>
      </c>
      <c r="G11" s="382" t="s">
        <v>85</v>
      </c>
    </row>
    <row r="12" spans="1:7" x14ac:dyDescent="0.25">
      <c r="A12" s="404" t="s">
        <v>256</v>
      </c>
      <c r="B12" s="405">
        <v>85</v>
      </c>
      <c r="C12" s="406" t="s">
        <v>385</v>
      </c>
      <c r="D12" s="41">
        <v>112</v>
      </c>
      <c r="E12" s="14" t="s">
        <v>385</v>
      </c>
      <c r="F12" s="405">
        <v>266</v>
      </c>
      <c r="G12" s="406" t="s">
        <v>385</v>
      </c>
    </row>
    <row r="13" spans="1:7" x14ac:dyDescent="0.25">
      <c r="A13" s="404"/>
      <c r="B13" s="407">
        <f>B12/15.84</f>
        <v>5.3661616161616159</v>
      </c>
      <c r="C13" s="408" t="s">
        <v>64</v>
      </c>
      <c r="D13" s="219">
        <f>D12/15.84</f>
        <v>7.0707070707070709</v>
      </c>
      <c r="E13" t="s">
        <v>64</v>
      </c>
      <c r="F13" s="407">
        <f>F12/15.84</f>
        <v>16.792929292929294</v>
      </c>
      <c r="G13" s="409" t="s">
        <v>64</v>
      </c>
    </row>
    <row r="14" spans="1:7" x14ac:dyDescent="0.25">
      <c r="A14" s="397" t="s">
        <v>992</v>
      </c>
      <c r="B14" s="410">
        <v>24</v>
      </c>
      <c r="C14" s="186" t="s">
        <v>253</v>
      </c>
      <c r="D14" s="411">
        <v>27.5</v>
      </c>
      <c r="E14" s="412" t="s">
        <v>253</v>
      </c>
      <c r="F14" s="410">
        <v>43</v>
      </c>
      <c r="G14" s="186" t="s">
        <v>253</v>
      </c>
    </row>
    <row r="15" spans="1:7" x14ac:dyDescent="0.25">
      <c r="A15" s="402"/>
      <c r="B15" s="413">
        <f>B14/1000</f>
        <v>2.4E-2</v>
      </c>
      <c r="C15" s="414" t="s">
        <v>85</v>
      </c>
      <c r="D15" s="415">
        <f>D14/1000</f>
        <v>2.75E-2</v>
      </c>
      <c r="E15" s="416" t="s">
        <v>85</v>
      </c>
      <c r="F15" s="413">
        <f>F14/1000</f>
        <v>4.2999999999999997E-2</v>
      </c>
      <c r="G15" s="414" t="s">
        <v>85</v>
      </c>
    </row>
    <row r="16" spans="1:7" x14ac:dyDescent="0.25">
      <c r="A16" s="417" t="s">
        <v>996</v>
      </c>
      <c r="B16" s="418">
        <f>0.25*3.14*(B15)^2</f>
        <v>4.5216000000000001E-4</v>
      </c>
      <c r="C16" s="175" t="s">
        <v>84</v>
      </c>
      <c r="D16" s="419">
        <f>0.25*3.14*(D15)^2</f>
        <v>5.9365625E-4</v>
      </c>
      <c r="E16" s="420" t="s">
        <v>84</v>
      </c>
      <c r="F16" s="418">
        <f>0.25*3.14*(F15)^2</f>
        <v>1.4514649999999999E-3</v>
      </c>
      <c r="G16" s="175" t="s">
        <v>84</v>
      </c>
    </row>
    <row r="17" spans="1:7" x14ac:dyDescent="0.25">
      <c r="A17" s="417" t="s">
        <v>997</v>
      </c>
      <c r="B17" s="421">
        <f>0.001*B13/B16</f>
        <v>11.86783796921801</v>
      </c>
      <c r="C17" s="176" t="s">
        <v>131</v>
      </c>
      <c r="D17" s="422">
        <f>0.001*D13/D16</f>
        <v>11.910439872749713</v>
      </c>
      <c r="E17" s="18" t="s">
        <v>131</v>
      </c>
      <c r="F17" s="421">
        <f>0.001*F13/F16</f>
        <v>11.569641219684453</v>
      </c>
      <c r="G17" s="176" t="s">
        <v>131</v>
      </c>
    </row>
    <row r="18" spans="1:7" x14ac:dyDescent="0.25">
      <c r="A18" s="417" t="s">
        <v>850</v>
      </c>
      <c r="B18" s="421">
        <f>B17^2/19.6</f>
        <v>7.1859988807965642</v>
      </c>
      <c r="C18" s="176" t="s">
        <v>85</v>
      </c>
      <c r="D18" s="422">
        <f>D17^2/19.6</f>
        <v>7.2376825491013355</v>
      </c>
      <c r="E18" s="18" t="s">
        <v>85</v>
      </c>
      <c r="F18" s="421">
        <f>F17^2/19.6</f>
        <v>6.8294182628684466</v>
      </c>
      <c r="G18" s="176" t="s">
        <v>85</v>
      </c>
    </row>
    <row r="19" spans="1:7" x14ac:dyDescent="0.25">
      <c r="A19" s="417" t="s">
        <v>998</v>
      </c>
      <c r="B19" s="421">
        <f>B11/B18</f>
        <v>0.98385765392942748</v>
      </c>
      <c r="C19" s="176"/>
      <c r="D19" s="422">
        <f>D11/D18</f>
        <v>0.97683201108037598</v>
      </c>
      <c r="E19" s="18"/>
      <c r="F19" s="421">
        <f>F11/F18</f>
        <v>1.0352272664920226</v>
      </c>
      <c r="G19" s="176"/>
    </row>
    <row r="20" spans="1:7" x14ac:dyDescent="0.25">
      <c r="A20" s="836" t="s">
        <v>999</v>
      </c>
      <c r="B20" s="837"/>
      <c r="C20" s="837"/>
      <c r="D20" s="837"/>
      <c r="E20" s="423">
        <f>AVERAGE(B19:G19)</f>
        <v>0.99863897716727534</v>
      </c>
      <c r="F20" s="41"/>
      <c r="G20" s="14"/>
    </row>
    <row r="21" spans="1:7" x14ac:dyDescent="0.25">
      <c r="B21" s="41"/>
    </row>
    <row r="22" spans="1:7" x14ac:dyDescent="0.25">
      <c r="B22" s="41"/>
    </row>
    <row r="23" spans="1:7" x14ac:dyDescent="0.25">
      <c r="B23" s="41"/>
    </row>
    <row r="34" spans="1:3" x14ac:dyDescent="0.25">
      <c r="A34" s="41"/>
    </row>
    <row r="35" spans="1:3" x14ac:dyDescent="0.25">
      <c r="A35" s="424"/>
      <c r="C35"/>
    </row>
  </sheetData>
  <mergeCells count="4">
    <mergeCell ref="A1:B1"/>
    <mergeCell ref="D2:E2"/>
    <mergeCell ref="A8:G8"/>
    <mergeCell ref="A20:D20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8BF646-5347-4E98-9381-04C0C558DE59}">
  <dimension ref="A1:G54"/>
  <sheetViews>
    <sheetView showGridLines="0" zoomScale="75" zoomScaleNormal="75" workbookViewId="0">
      <selection activeCell="D29" sqref="D29"/>
    </sheetView>
  </sheetViews>
  <sheetFormatPr baseColWidth="10" defaultRowHeight="15" x14ac:dyDescent="0.25"/>
  <cols>
    <col min="1" max="1" width="52.28515625" customWidth="1"/>
    <col min="2" max="2" width="51.140625" customWidth="1"/>
    <col min="3" max="3" width="12.7109375" customWidth="1"/>
    <col min="4" max="4" width="11.140625" customWidth="1"/>
    <col min="5" max="6" width="23.85546875" customWidth="1"/>
    <col min="7" max="7" width="16" customWidth="1"/>
  </cols>
  <sheetData>
    <row r="1" spans="1:7" ht="15.75" x14ac:dyDescent="0.25">
      <c r="A1" s="293"/>
      <c r="B1" s="294" t="s">
        <v>910</v>
      </c>
      <c r="C1" s="295"/>
      <c r="D1" s="296"/>
    </row>
    <row r="2" spans="1:7" x14ac:dyDescent="0.25">
      <c r="A2" s="293"/>
      <c r="B2" s="297" t="s">
        <v>941</v>
      </c>
      <c r="C2" s="295"/>
      <c r="D2" s="296"/>
    </row>
    <row r="3" spans="1:7" x14ac:dyDescent="0.25">
      <c r="A3" s="293"/>
      <c r="B3" s="298" t="s">
        <v>874</v>
      </c>
      <c r="C3" s="299"/>
      <c r="D3" s="296"/>
    </row>
    <row r="4" spans="1:7" x14ac:dyDescent="0.25">
      <c r="A4" s="293"/>
      <c r="B4" s="300" t="s">
        <v>942</v>
      </c>
      <c r="C4" s="299"/>
      <c r="D4" s="296"/>
    </row>
    <row r="5" spans="1:7" x14ac:dyDescent="0.25">
      <c r="A5" s="293"/>
      <c r="B5" s="482" t="s">
        <v>943</v>
      </c>
      <c r="C5" s="302"/>
      <c r="D5" s="296"/>
    </row>
    <row r="6" spans="1:7" x14ac:dyDescent="0.25">
      <c r="A6" s="293"/>
      <c r="B6" s="297" t="s">
        <v>944</v>
      </c>
      <c r="C6" s="297"/>
      <c r="D6" s="296"/>
    </row>
    <row r="7" spans="1:7" x14ac:dyDescent="0.25">
      <c r="A7" s="293"/>
      <c r="B7" s="190" t="s">
        <v>945</v>
      </c>
      <c r="C7" s="178"/>
      <c r="D7" s="296"/>
    </row>
    <row r="8" spans="1:7" x14ac:dyDescent="0.25">
      <c r="A8" s="293"/>
      <c r="B8" s="303" t="s">
        <v>852</v>
      </c>
      <c r="C8" s="299"/>
      <c r="D8" s="296"/>
    </row>
    <row r="9" spans="1:7" x14ac:dyDescent="0.25">
      <c r="A9" s="293"/>
      <c r="B9" s="304" t="s">
        <v>946</v>
      </c>
      <c r="C9" s="299"/>
      <c r="D9" s="305"/>
    </row>
    <row r="10" spans="1:7" x14ac:dyDescent="0.25">
      <c r="A10" s="293"/>
      <c r="B10" s="306" t="s">
        <v>947</v>
      </c>
      <c r="C10" s="302"/>
      <c r="D10" s="296"/>
    </row>
    <row r="11" spans="1:7" x14ac:dyDescent="0.25">
      <c r="A11" s="293"/>
      <c r="B11" s="296"/>
    </row>
    <row r="12" spans="1:7" ht="15.75" x14ac:dyDescent="0.25">
      <c r="A12" s="307" t="s">
        <v>948</v>
      </c>
      <c r="B12" s="308"/>
      <c r="C12" s="308"/>
      <c r="F12" s="307" t="s">
        <v>949</v>
      </c>
      <c r="G12" s="309" t="s">
        <v>950</v>
      </c>
    </row>
    <row r="13" spans="1:7" ht="22.5" customHeight="1" x14ac:dyDescent="0.25">
      <c r="A13" s="307"/>
      <c r="B13" s="838" t="s">
        <v>1127</v>
      </c>
      <c r="C13" s="839"/>
      <c r="D13" s="839"/>
      <c r="E13" s="839"/>
      <c r="F13" s="307"/>
      <c r="G13" s="309"/>
    </row>
    <row r="14" spans="1:7" ht="15" customHeight="1" x14ac:dyDescent="0.25">
      <c r="A14" s="495" t="s">
        <v>1066</v>
      </c>
      <c r="B14" s="483" t="s">
        <v>1052</v>
      </c>
      <c r="C14" s="484" t="s">
        <v>1067</v>
      </c>
      <c r="D14" s="485">
        <f>'Planta USA'!E111</f>
        <v>78.195455999999993</v>
      </c>
      <c r="E14" s="188" t="s">
        <v>242</v>
      </c>
      <c r="F14" s="258"/>
      <c r="G14" s="258"/>
    </row>
    <row r="15" spans="1:7" ht="15" customHeight="1" x14ac:dyDescent="0.25">
      <c r="A15" s="341" t="s">
        <v>1090</v>
      </c>
      <c r="B15" s="451" t="s">
        <v>1068</v>
      </c>
      <c r="C15" s="436" t="s">
        <v>1091</v>
      </c>
      <c r="D15" s="268">
        <v>0.67</v>
      </c>
      <c r="E15" s="452"/>
      <c r="F15" s="258"/>
      <c r="G15" s="258"/>
    </row>
    <row r="16" spans="1:7" ht="15" customHeight="1" x14ac:dyDescent="0.25">
      <c r="A16" s="341" t="str">
        <f>$A$15</f>
        <v>Jairo Alberto Romero (Ref. F-2)</v>
      </c>
      <c r="B16" s="451" t="s">
        <v>1069</v>
      </c>
      <c r="C16" s="436" t="s">
        <v>378</v>
      </c>
      <c r="D16" s="268">
        <v>0.06</v>
      </c>
      <c r="E16" s="452" t="s">
        <v>1070</v>
      </c>
      <c r="F16" s="258"/>
      <c r="G16" s="258"/>
    </row>
    <row r="17" spans="1:7" ht="15" customHeight="1" x14ac:dyDescent="0.25">
      <c r="A17" s="341" t="s">
        <v>1071</v>
      </c>
      <c r="B17" s="451" t="s">
        <v>376</v>
      </c>
      <c r="C17" s="496"/>
      <c r="D17" s="497">
        <v>60</v>
      </c>
      <c r="E17" s="452" t="s">
        <v>1072</v>
      </c>
      <c r="F17" s="258"/>
      <c r="G17" s="258"/>
    </row>
    <row r="18" spans="1:7" ht="15" customHeight="1" x14ac:dyDescent="0.25">
      <c r="A18" s="341" t="s">
        <v>1073</v>
      </c>
      <c r="B18" s="430" t="s">
        <v>1198</v>
      </c>
      <c r="C18" s="431" t="s">
        <v>1074</v>
      </c>
      <c r="D18" s="439">
        <f>D15*D14/(1+D16*D17)</f>
        <v>11.38933815652174</v>
      </c>
      <c r="E18" s="433" t="s">
        <v>919</v>
      </c>
      <c r="F18" s="258"/>
      <c r="G18" s="258"/>
    </row>
    <row r="19" spans="1:7" ht="15" customHeight="1" x14ac:dyDescent="0.25">
      <c r="A19" s="498" t="s">
        <v>1066</v>
      </c>
      <c r="B19" s="166" t="s">
        <v>1199</v>
      </c>
      <c r="C19" s="210"/>
      <c r="D19" s="499">
        <f>'Planta USA'!E121</f>
        <v>6.7651200000000005</v>
      </c>
      <c r="E19" s="169" t="s">
        <v>925</v>
      </c>
      <c r="F19" s="258"/>
      <c r="G19" s="258"/>
    </row>
    <row r="20" spans="1:7" ht="30.75" customHeight="1" x14ac:dyDescent="0.25">
      <c r="A20" s="590" t="s">
        <v>1055</v>
      </c>
      <c r="B20" s="593" t="s">
        <v>1259</v>
      </c>
      <c r="C20" s="591" t="s">
        <v>1092</v>
      </c>
      <c r="D20" s="594">
        <v>0.12</v>
      </c>
      <c r="E20" s="592" t="s">
        <v>1093</v>
      </c>
      <c r="F20" s="258"/>
      <c r="G20" s="258"/>
    </row>
    <row r="21" spans="1:7" ht="15" customHeight="1" x14ac:dyDescent="0.25">
      <c r="A21" s="341"/>
      <c r="B21" s="445" t="s">
        <v>1094</v>
      </c>
      <c r="C21" s="431" t="s">
        <v>1092</v>
      </c>
      <c r="D21" s="439">
        <f>D19*D20</f>
        <v>0.81181440000000005</v>
      </c>
      <c r="E21" s="443" t="s">
        <v>1095</v>
      </c>
      <c r="F21" s="258"/>
      <c r="G21" s="258"/>
    </row>
    <row r="22" spans="1:7" ht="15" customHeight="1" x14ac:dyDescent="0.25">
      <c r="A22" s="341"/>
      <c r="B22" s="430" t="s">
        <v>1096</v>
      </c>
      <c r="C22" s="431" t="s">
        <v>1097</v>
      </c>
      <c r="D22" s="439">
        <f>D18+D21</f>
        <v>12.201152556521739</v>
      </c>
      <c r="E22" s="433" t="s">
        <v>919</v>
      </c>
      <c r="F22" s="258"/>
      <c r="G22" s="258"/>
    </row>
    <row r="23" spans="1:7" ht="15" customHeight="1" x14ac:dyDescent="0.25">
      <c r="A23" s="341" t="s">
        <v>1090</v>
      </c>
      <c r="B23" s="201" t="s">
        <v>1054</v>
      </c>
      <c r="C23" s="472"/>
      <c r="D23" s="501">
        <v>7</v>
      </c>
      <c r="E23" s="185" t="s">
        <v>185</v>
      </c>
      <c r="F23" s="258"/>
      <c r="G23" s="258"/>
    </row>
    <row r="24" spans="1:7" ht="15" customHeight="1" x14ac:dyDescent="0.25">
      <c r="A24" s="341" t="s">
        <v>1098</v>
      </c>
      <c r="B24" s="451" t="s">
        <v>1099</v>
      </c>
      <c r="C24" s="436"/>
      <c r="D24" s="268">
        <v>0.2</v>
      </c>
      <c r="E24" s="452" t="s">
        <v>85</v>
      </c>
      <c r="F24" s="258"/>
      <c r="G24" s="258"/>
    </row>
    <row r="25" spans="1:7" ht="15" customHeight="1" x14ac:dyDescent="0.25">
      <c r="A25" s="383" t="s">
        <v>1124</v>
      </c>
      <c r="B25" s="451" t="s">
        <v>1125</v>
      </c>
      <c r="C25" s="436"/>
      <c r="D25" s="497">
        <f>2*147.85</f>
        <v>295.7</v>
      </c>
      <c r="E25" s="452" t="s">
        <v>1126</v>
      </c>
      <c r="F25" s="258"/>
      <c r="G25" s="258"/>
    </row>
    <row r="26" spans="1:7" ht="15" customHeight="1" x14ac:dyDescent="0.25">
      <c r="A26" s="341"/>
      <c r="B26" s="368" t="s">
        <v>1129</v>
      </c>
      <c r="C26" s="502"/>
      <c r="D26" s="225">
        <f>365*D22/D25</f>
        <v>15.060604271661937</v>
      </c>
      <c r="E26" s="369" t="s">
        <v>84</v>
      </c>
      <c r="F26" s="258"/>
      <c r="G26" s="258"/>
    </row>
    <row r="27" spans="1:7" ht="15" customHeight="1" x14ac:dyDescent="0.25">
      <c r="A27" s="341"/>
      <c r="B27" s="181" t="s">
        <v>1053</v>
      </c>
      <c r="C27" s="235"/>
      <c r="D27" s="199">
        <v>1</v>
      </c>
      <c r="E27" s="200" t="s">
        <v>201</v>
      </c>
      <c r="F27" s="258"/>
      <c r="G27" s="258"/>
    </row>
    <row r="28" spans="1:7" ht="15" customHeight="1" x14ac:dyDescent="0.25">
      <c r="A28" s="341"/>
      <c r="B28" s="181" t="s">
        <v>397</v>
      </c>
      <c r="C28" s="235"/>
      <c r="D28" s="222">
        <v>6.5</v>
      </c>
      <c r="E28" s="200" t="s">
        <v>85</v>
      </c>
      <c r="F28" s="258"/>
      <c r="G28" s="258"/>
    </row>
    <row r="29" spans="1:7" ht="15" customHeight="1" x14ac:dyDescent="0.25">
      <c r="A29" s="341"/>
      <c r="B29" s="181" t="s">
        <v>398</v>
      </c>
      <c r="C29" s="235"/>
      <c r="D29" s="222">
        <v>2.4</v>
      </c>
      <c r="E29" s="200" t="s">
        <v>85</v>
      </c>
      <c r="F29" s="258"/>
      <c r="G29" s="258"/>
    </row>
    <row r="30" spans="1:7" ht="15" customHeight="1" x14ac:dyDescent="0.25">
      <c r="A30" s="341"/>
      <c r="B30" s="430" t="s">
        <v>1128</v>
      </c>
      <c r="C30" s="450" t="str">
        <f>IF(D30&lt;D26,"insuficiente","suficiente")</f>
        <v>suficiente</v>
      </c>
      <c r="D30" s="439">
        <f>D28*D29</f>
        <v>15.6</v>
      </c>
      <c r="E30" s="433" t="s">
        <v>84</v>
      </c>
      <c r="F30" s="258"/>
      <c r="G30" s="258"/>
    </row>
    <row r="31" spans="1:7" ht="15" customHeight="1" x14ac:dyDescent="0.25">
      <c r="A31" s="383"/>
      <c r="B31" s="160" t="s">
        <v>1130</v>
      </c>
      <c r="C31" s="205"/>
      <c r="D31" s="198">
        <f>D27*D30</f>
        <v>15.6</v>
      </c>
      <c r="E31" s="161" t="s">
        <v>84</v>
      </c>
      <c r="F31" s="258"/>
      <c r="G31" s="258"/>
    </row>
    <row r="32" spans="1:7" ht="15" customHeight="1" x14ac:dyDescent="0.25">
      <c r="A32" s="341" t="s">
        <v>1100</v>
      </c>
      <c r="B32" s="201" t="s">
        <v>1101</v>
      </c>
      <c r="C32" s="436"/>
      <c r="D32" s="268">
        <v>7</v>
      </c>
      <c r="E32" s="452" t="s">
        <v>185</v>
      </c>
      <c r="F32" s="258"/>
      <c r="G32" s="258"/>
    </row>
    <row r="33" spans="1:7" ht="15" customHeight="1" x14ac:dyDescent="0.25">
      <c r="A33" s="341"/>
      <c r="B33" s="160" t="s">
        <v>1102</v>
      </c>
      <c r="C33" s="205"/>
      <c r="D33" s="212">
        <f>1000*D24*D30</f>
        <v>3120</v>
      </c>
      <c r="E33" s="161" t="s">
        <v>849</v>
      </c>
      <c r="F33" s="258"/>
      <c r="G33" s="258"/>
    </row>
    <row r="34" spans="1:7" ht="15" customHeight="1" x14ac:dyDescent="0.25">
      <c r="A34" s="341" t="s">
        <v>1103</v>
      </c>
      <c r="B34" s="249" t="s">
        <v>1104</v>
      </c>
      <c r="C34" s="237" t="s">
        <v>1105</v>
      </c>
      <c r="D34" s="503">
        <v>0.35</v>
      </c>
      <c r="E34" s="488"/>
      <c r="F34" s="258"/>
      <c r="G34" s="258"/>
    </row>
    <row r="35" spans="1:7" ht="15" customHeight="1" x14ac:dyDescent="0.25">
      <c r="A35" s="341"/>
      <c r="B35" s="249" t="s">
        <v>1106</v>
      </c>
      <c r="C35" s="237"/>
      <c r="D35" s="504">
        <f>(1-D34)*D33</f>
        <v>2028</v>
      </c>
      <c r="E35" s="488" t="s">
        <v>849</v>
      </c>
      <c r="F35" s="258"/>
      <c r="G35" s="258"/>
    </row>
    <row r="36" spans="1:7" ht="15" customHeight="1" x14ac:dyDescent="0.25">
      <c r="A36" s="341" t="s">
        <v>989</v>
      </c>
      <c r="B36" s="505" t="s">
        <v>1107</v>
      </c>
      <c r="C36" s="506"/>
      <c r="D36" s="507">
        <v>2</v>
      </c>
      <c r="E36" s="508" t="s">
        <v>385</v>
      </c>
      <c r="F36" s="258"/>
      <c r="G36" s="258"/>
    </row>
    <row r="37" spans="1:7" ht="15" customHeight="1" x14ac:dyDescent="0.25">
      <c r="A37" s="341"/>
      <c r="B37" s="509"/>
      <c r="C37" s="454"/>
      <c r="D37" s="510">
        <f>D36*3.8/60</f>
        <v>0.12666666666666665</v>
      </c>
      <c r="E37" s="511" t="s">
        <v>64</v>
      </c>
      <c r="F37" s="258"/>
      <c r="G37" s="258"/>
    </row>
    <row r="38" spans="1:7" ht="15" customHeight="1" x14ac:dyDescent="0.25">
      <c r="A38" s="341"/>
      <c r="B38" s="181" t="s">
        <v>1108</v>
      </c>
      <c r="C38" s="235"/>
      <c r="D38" s="222">
        <v>0.25</v>
      </c>
      <c r="E38" s="200"/>
      <c r="F38" s="258"/>
      <c r="G38" s="258"/>
    </row>
    <row r="39" spans="1:7" ht="15" customHeight="1" x14ac:dyDescent="0.25">
      <c r="A39" s="341"/>
      <c r="B39" s="512" t="s">
        <v>1109</v>
      </c>
      <c r="C39" s="513"/>
      <c r="D39" s="277">
        <f>D35/(D38*D37*3600)</f>
        <v>17.789473684210527</v>
      </c>
      <c r="E39" s="514" t="s">
        <v>100</v>
      </c>
      <c r="F39" s="258"/>
      <c r="G39" s="258"/>
    </row>
    <row r="40" spans="1:7" ht="15" customHeight="1" x14ac:dyDescent="0.25">
      <c r="A40" s="341"/>
      <c r="B40" s="515"/>
      <c r="C40" s="516"/>
      <c r="D40" s="374">
        <f>D39/24</f>
        <v>0.74122807017543868</v>
      </c>
      <c r="E40" s="375" t="s">
        <v>185</v>
      </c>
      <c r="F40" s="258"/>
      <c r="G40" s="258"/>
    </row>
    <row r="41" spans="1:7" ht="15" customHeight="1" x14ac:dyDescent="0.25">
      <c r="A41" s="341" t="s">
        <v>989</v>
      </c>
      <c r="B41" s="201" t="s">
        <v>1110</v>
      </c>
      <c r="C41" s="472"/>
      <c r="D41" s="202">
        <v>2</v>
      </c>
      <c r="E41" s="185" t="s">
        <v>659</v>
      </c>
      <c r="F41" s="258"/>
      <c r="G41" s="258"/>
    </row>
    <row r="42" spans="1:7" ht="15" customHeight="1" x14ac:dyDescent="0.25">
      <c r="A42" s="341"/>
      <c r="B42" s="160" t="s">
        <v>1111</v>
      </c>
      <c r="C42" s="162"/>
      <c r="D42" s="216">
        <v>0.8</v>
      </c>
      <c r="E42" s="161" t="s">
        <v>85</v>
      </c>
      <c r="F42" s="258"/>
      <c r="G42" s="258"/>
    </row>
    <row r="43" spans="1:7" ht="15" customHeight="1" x14ac:dyDescent="0.25">
      <c r="B43" s="160" t="s">
        <v>1112</v>
      </c>
      <c r="C43" s="205"/>
      <c r="D43" s="198">
        <f>D41+D42</f>
        <v>2.8</v>
      </c>
      <c r="E43" s="161" t="s">
        <v>659</v>
      </c>
      <c r="F43" s="258"/>
      <c r="G43" s="258"/>
    </row>
    <row r="44" spans="1:7" ht="15" customHeight="1" x14ac:dyDescent="0.25">
      <c r="A44" s="341"/>
      <c r="B44" s="181" t="s">
        <v>876</v>
      </c>
      <c r="C44" s="235"/>
      <c r="D44" s="222">
        <v>0.25</v>
      </c>
      <c r="E44" s="200" t="s">
        <v>85</v>
      </c>
      <c r="F44" s="258"/>
      <c r="G44" s="258"/>
    </row>
    <row r="45" spans="1:7" ht="15" customHeight="1" x14ac:dyDescent="0.25">
      <c r="A45" s="290"/>
      <c r="B45" s="430" t="s">
        <v>1113</v>
      </c>
      <c r="C45" s="431"/>
      <c r="D45" s="439">
        <f>D43/D44</f>
        <v>11.2</v>
      </c>
      <c r="E45" s="433"/>
      <c r="F45" s="258"/>
      <c r="G45" s="257"/>
    </row>
    <row r="46" spans="1:7" x14ac:dyDescent="0.25">
      <c r="A46" s="341"/>
      <c r="B46" s="160" t="s">
        <v>1114</v>
      </c>
      <c r="C46" s="205"/>
      <c r="D46" s="198">
        <f>D32*(D18+D21)</f>
        <v>85.408067895652181</v>
      </c>
      <c r="E46" s="161" t="s">
        <v>688</v>
      </c>
    </row>
    <row r="47" spans="1:7" x14ac:dyDescent="0.25">
      <c r="A47" s="517" t="s">
        <v>1115</v>
      </c>
      <c r="B47" s="505" t="s">
        <v>1116</v>
      </c>
      <c r="C47" s="506"/>
      <c r="D47" s="507">
        <v>1.5</v>
      </c>
      <c r="E47" s="508" t="s">
        <v>1117</v>
      </c>
    </row>
    <row r="48" spans="1:7" x14ac:dyDescent="0.25">
      <c r="A48" s="341"/>
      <c r="B48" s="242"/>
      <c r="C48" s="204"/>
      <c r="D48" s="518">
        <f>D47*1000</f>
        <v>1500</v>
      </c>
      <c r="E48" s="244" t="s">
        <v>116</v>
      </c>
    </row>
    <row r="49" spans="1:7" x14ac:dyDescent="0.25">
      <c r="A49" s="341"/>
      <c r="B49" s="182" t="s">
        <v>1118</v>
      </c>
      <c r="C49" s="247"/>
      <c r="D49" s="223">
        <v>3</v>
      </c>
      <c r="E49" s="184" t="s">
        <v>271</v>
      </c>
    </row>
    <row r="50" spans="1:7" x14ac:dyDescent="0.25">
      <c r="A50" s="341"/>
      <c r="B50" s="304" t="s">
        <v>1119</v>
      </c>
      <c r="C50" s="386"/>
      <c r="D50" s="387">
        <f>0.01*D49*D30</f>
        <v>0.46799999999999997</v>
      </c>
      <c r="E50" s="388" t="s">
        <v>80</v>
      </c>
      <c r="G50" s="14"/>
    </row>
    <row r="51" spans="1:7" x14ac:dyDescent="0.25">
      <c r="A51" s="341"/>
      <c r="B51" s="368" t="s">
        <v>1120</v>
      </c>
      <c r="C51" s="502"/>
      <c r="D51" s="468">
        <f>D48*D50</f>
        <v>702</v>
      </c>
      <c r="E51" s="369" t="s">
        <v>688</v>
      </c>
      <c r="G51" s="14"/>
    </row>
    <row r="52" spans="1:7" x14ac:dyDescent="0.25">
      <c r="A52" s="341"/>
      <c r="B52" s="249" t="s">
        <v>1121</v>
      </c>
      <c r="C52" s="237"/>
      <c r="D52" s="504">
        <f>D46+D51</f>
        <v>787.40806789565215</v>
      </c>
      <c r="E52" s="488" t="s">
        <v>688</v>
      </c>
      <c r="G52" s="14"/>
    </row>
    <row r="53" spans="1:7" x14ac:dyDescent="0.25">
      <c r="A53" s="341"/>
      <c r="B53" s="249" t="s">
        <v>1122</v>
      </c>
      <c r="C53" s="237"/>
      <c r="D53" s="504">
        <f>D52*(1-D34)</f>
        <v>511.81524413217392</v>
      </c>
      <c r="E53" s="488" t="s">
        <v>688</v>
      </c>
      <c r="G53" s="14"/>
    </row>
    <row r="54" spans="1:7" x14ac:dyDescent="0.25">
      <c r="A54" s="341"/>
      <c r="B54" s="304" t="s">
        <v>1123</v>
      </c>
      <c r="C54" s="386"/>
      <c r="D54" s="519">
        <f>D46+D51+D53</f>
        <v>1299.2233120278261</v>
      </c>
      <c r="E54" s="388" t="s">
        <v>688</v>
      </c>
    </row>
  </sheetData>
  <mergeCells count="1">
    <mergeCell ref="B13:E13"/>
  </mergeCells>
  <hyperlinks>
    <hyperlink ref="A47" r:id="rId1" xr:uid="{BBF6D0BB-8562-4D31-B29A-F0B0506A9E4B}"/>
  </hyperlinks>
  <pageMargins left="0.7" right="0.7" top="0.75" bottom="0.75" header="0.3" footer="0.3"/>
  <pageSetup paperSize="9" orientation="portrait" horizontalDpi="0" verticalDpi="0" r:id="rId2"/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U51"/>
  <sheetViews>
    <sheetView showGridLines="0" zoomScale="75" zoomScaleNormal="75" workbookViewId="0">
      <selection activeCell="H15" sqref="H15"/>
    </sheetView>
  </sheetViews>
  <sheetFormatPr baseColWidth="10" defaultRowHeight="15" x14ac:dyDescent="0.25"/>
  <cols>
    <col min="1" max="1" width="13.7109375" customWidth="1"/>
    <col min="2" max="2" width="13.42578125" customWidth="1"/>
    <col min="3" max="3" width="6" style="14" customWidth="1"/>
    <col min="4" max="4" width="13.7109375" customWidth="1"/>
    <col min="5" max="5" width="4.28515625" customWidth="1"/>
    <col min="6" max="6" width="16" customWidth="1"/>
    <col min="7" max="7" width="7.28515625" customWidth="1"/>
    <col min="8" max="8" width="16.85546875" customWidth="1"/>
    <col min="9" max="9" width="13.28515625" customWidth="1"/>
    <col min="10" max="10" width="4.7109375" customWidth="1"/>
    <col min="11" max="11" width="16.140625" customWidth="1"/>
    <col min="12" max="12" width="8.85546875" customWidth="1"/>
    <col min="13" max="13" width="16.140625" customWidth="1"/>
    <col min="14" max="14" width="9.28515625" customWidth="1"/>
    <col min="15" max="15" width="21.5703125" customWidth="1"/>
    <col min="16" max="16" width="8.7109375" customWidth="1"/>
    <col min="17" max="17" width="20.7109375" customWidth="1"/>
    <col min="18" max="18" width="9.140625" customWidth="1"/>
    <col min="19" max="19" width="19.7109375" customWidth="1"/>
    <col min="20" max="20" width="4" customWidth="1"/>
    <col min="21" max="21" width="2.85546875" customWidth="1"/>
  </cols>
  <sheetData>
    <row r="3" spans="1:13" ht="33" customHeight="1" x14ac:dyDescent="0.25">
      <c r="A3" s="154"/>
      <c r="E3" s="159"/>
      <c r="F3" s="159"/>
      <c r="G3" s="159"/>
    </row>
    <row r="4" spans="1:13" ht="26.25" customHeight="1" x14ac:dyDescent="0.25">
      <c r="A4" s="154"/>
      <c r="E4" s="159"/>
      <c r="F4" s="159"/>
      <c r="G4" s="159"/>
    </row>
    <row r="5" spans="1:13" x14ac:dyDescent="0.25">
      <c r="A5" s="154"/>
      <c r="C5" s="155"/>
      <c r="E5" s="154"/>
      <c r="F5" s="154"/>
    </row>
    <row r="6" spans="1:13" x14ac:dyDescent="0.25">
      <c r="A6" s="154"/>
      <c r="B6" s="155"/>
      <c r="C6" s="155"/>
      <c r="D6" s="154"/>
      <c r="E6" s="154"/>
      <c r="F6" s="154"/>
    </row>
    <row r="7" spans="1:13" ht="33.75" customHeight="1" x14ac:dyDescent="0.25">
      <c r="A7" s="154"/>
      <c r="B7" s="155"/>
      <c r="C7" s="155"/>
      <c r="D7" s="154"/>
      <c r="E7" s="154"/>
      <c r="F7" s="154"/>
    </row>
    <row r="8" spans="1:13" x14ac:dyDescent="0.25">
      <c r="B8" s="155"/>
      <c r="C8" s="155"/>
      <c r="D8" s="154"/>
      <c r="E8" s="154"/>
      <c r="F8" s="154"/>
    </row>
    <row r="9" spans="1:13" x14ac:dyDescent="0.25">
      <c r="E9" s="40"/>
      <c r="G9" s="154"/>
      <c r="H9" s="154"/>
      <c r="I9" s="154"/>
      <c r="J9" s="154"/>
      <c r="K9" s="154"/>
      <c r="L9" s="154"/>
      <c r="M9" s="154"/>
    </row>
    <row r="10" spans="1:13" ht="25.5" customHeight="1" x14ac:dyDescent="0.25">
      <c r="B10" s="154"/>
      <c r="E10" s="154"/>
      <c r="F10" s="154"/>
      <c r="G10" s="154"/>
      <c r="H10" s="154"/>
      <c r="I10" s="154"/>
      <c r="J10" s="154"/>
      <c r="K10" s="154"/>
      <c r="L10" s="154"/>
      <c r="M10" s="154"/>
    </row>
    <row r="11" spans="1:13" x14ac:dyDescent="0.25">
      <c r="G11" s="154"/>
      <c r="H11" s="40"/>
      <c r="I11" s="154"/>
      <c r="J11" s="154"/>
      <c r="K11" s="154"/>
      <c r="L11" s="154"/>
      <c r="M11" s="154"/>
    </row>
    <row r="12" spans="1:13" x14ac:dyDescent="0.25">
      <c r="B12" s="13"/>
      <c r="G12" s="154"/>
      <c r="H12" s="40"/>
      <c r="I12" s="154"/>
      <c r="J12" s="154"/>
      <c r="K12" s="154"/>
      <c r="L12" s="154"/>
      <c r="M12" s="154"/>
    </row>
    <row r="13" spans="1:13" x14ac:dyDescent="0.25">
      <c r="G13" s="154"/>
      <c r="H13" s="40"/>
      <c r="I13" s="154"/>
      <c r="J13" s="154"/>
      <c r="K13" s="154"/>
      <c r="L13" s="154"/>
      <c r="M13" s="154"/>
    </row>
    <row r="14" spans="1:13" x14ac:dyDescent="0.25">
      <c r="A14" s="835" t="s">
        <v>833</v>
      </c>
      <c r="B14" s="835"/>
      <c r="C14" s="835"/>
      <c r="G14" s="154"/>
      <c r="H14" s="40"/>
      <c r="I14" s="154"/>
      <c r="J14" s="154"/>
      <c r="K14" s="154"/>
      <c r="L14" s="154"/>
      <c r="M14" s="154"/>
    </row>
    <row r="15" spans="1:13" x14ac:dyDescent="0.25">
      <c r="G15" s="154"/>
      <c r="H15" s="40"/>
      <c r="I15" s="154"/>
      <c r="J15" s="154"/>
      <c r="K15" s="154"/>
      <c r="L15" s="154"/>
      <c r="M15" s="154"/>
    </row>
    <row r="16" spans="1:13" ht="35.25" customHeight="1" x14ac:dyDescent="0.25">
      <c r="I16" s="154"/>
      <c r="J16" s="154"/>
      <c r="K16" s="154"/>
      <c r="L16" s="154"/>
      <c r="M16" s="154"/>
    </row>
    <row r="17" spans="1:20" ht="39.75" customHeight="1" x14ac:dyDescent="0.25">
      <c r="A17" s="834" t="s">
        <v>832</v>
      </c>
      <c r="B17" s="834"/>
      <c r="C17" s="834"/>
      <c r="D17" s="1" t="s">
        <v>567</v>
      </c>
      <c r="E17" s="154"/>
      <c r="F17" s="154" t="s">
        <v>835</v>
      </c>
      <c r="I17" s="154"/>
      <c r="J17" s="154"/>
      <c r="K17" s="154"/>
      <c r="L17" s="154"/>
      <c r="M17" s="154"/>
    </row>
    <row r="18" spans="1:20" x14ac:dyDescent="0.25">
      <c r="C18" s="40"/>
      <c r="D18" s="154"/>
      <c r="E18" s="154"/>
      <c r="I18" s="154"/>
      <c r="J18" s="154"/>
      <c r="K18" s="154"/>
      <c r="L18" s="154"/>
      <c r="M18" s="154"/>
    </row>
    <row r="19" spans="1:20" x14ac:dyDescent="0.25">
      <c r="B19" s="41" t="s">
        <v>611</v>
      </c>
      <c r="C19" s="40"/>
      <c r="D19" s="154"/>
      <c r="E19" s="154"/>
      <c r="F19" s="154"/>
      <c r="G19" s="154"/>
      <c r="H19" s="154"/>
      <c r="I19" s="154"/>
      <c r="J19" s="154"/>
      <c r="K19" s="154"/>
      <c r="L19" s="154"/>
      <c r="M19" s="154"/>
    </row>
    <row r="20" spans="1:20" x14ac:dyDescent="0.25">
      <c r="C20" s="40"/>
      <c r="D20" s="154"/>
      <c r="E20" s="154"/>
      <c r="F20" s="154"/>
      <c r="G20" s="154"/>
      <c r="H20" s="154"/>
      <c r="I20" s="154"/>
      <c r="J20" s="154"/>
      <c r="K20" s="1"/>
      <c r="L20" s="1"/>
      <c r="M20" s="1"/>
    </row>
    <row r="21" spans="1:20" x14ac:dyDescent="0.25">
      <c r="C21"/>
      <c r="D21" s="14"/>
      <c r="E21" s="154"/>
      <c r="F21" s="154"/>
      <c r="G21" s="154"/>
      <c r="H21" s="154"/>
      <c r="I21" s="154"/>
      <c r="J21" s="154"/>
      <c r="K21" s="154"/>
      <c r="L21" s="154"/>
      <c r="M21" s="154"/>
    </row>
    <row r="22" spans="1:20" x14ac:dyDescent="0.25">
      <c r="C22"/>
      <c r="D22" s="14"/>
      <c r="E22" s="154"/>
      <c r="F22" s="154"/>
      <c r="G22" s="154"/>
      <c r="H22" s="154"/>
      <c r="I22" s="154"/>
      <c r="J22" s="154"/>
      <c r="K22" s="154"/>
      <c r="L22" s="154"/>
      <c r="M22" s="154"/>
    </row>
    <row r="23" spans="1:20" ht="33" customHeight="1" x14ac:dyDescent="0.25">
      <c r="A23" s="834" t="s">
        <v>834</v>
      </c>
      <c r="B23" s="834"/>
      <c r="C23" s="834"/>
      <c r="D23" s="1" t="s">
        <v>567</v>
      </c>
      <c r="E23" s="154"/>
      <c r="F23" s="154" t="s">
        <v>835</v>
      </c>
      <c r="G23" s="154"/>
      <c r="H23" s="154"/>
      <c r="I23" s="154"/>
      <c r="J23" s="154"/>
      <c r="K23" s="154"/>
      <c r="L23" s="154"/>
      <c r="M23" s="154"/>
    </row>
    <row r="24" spans="1:20" x14ac:dyDescent="0.25">
      <c r="C24"/>
      <c r="D24" s="40"/>
      <c r="E24" s="154"/>
      <c r="F24" s="154"/>
      <c r="G24" s="154"/>
      <c r="H24" s="154"/>
      <c r="I24" s="154"/>
      <c r="J24" s="154"/>
      <c r="K24" s="154"/>
      <c r="L24" s="154"/>
      <c r="M24" s="154"/>
    </row>
    <row r="25" spans="1:20" x14ac:dyDescent="0.25">
      <c r="B25" s="41" t="s">
        <v>611</v>
      </c>
      <c r="C25"/>
      <c r="D25" s="40"/>
      <c r="E25" s="154"/>
      <c r="F25" s="154"/>
      <c r="G25" s="154"/>
      <c r="H25" s="154"/>
      <c r="I25" s="154"/>
      <c r="J25" s="154"/>
      <c r="K25" s="154"/>
      <c r="L25" s="154"/>
      <c r="M25" s="154"/>
    </row>
    <row r="26" spans="1:20" x14ac:dyDescent="0.25">
      <c r="C26"/>
    </row>
    <row r="27" spans="1:20" x14ac:dyDescent="0.25">
      <c r="C27"/>
    </row>
    <row r="28" spans="1:20" x14ac:dyDescent="0.25">
      <c r="B28" s="14" t="s">
        <v>816</v>
      </c>
      <c r="C28"/>
    </row>
    <row r="29" spans="1:20" x14ac:dyDescent="0.25">
      <c r="B29" s="14" t="s">
        <v>817</v>
      </c>
      <c r="C29"/>
      <c r="D29" s="155" t="s">
        <v>818</v>
      </c>
      <c r="I29" s="155" t="s">
        <v>827</v>
      </c>
      <c r="O29" s="155" t="s">
        <v>828</v>
      </c>
      <c r="P29" s="155"/>
      <c r="Q29" s="155" t="s">
        <v>829</v>
      </c>
      <c r="R29" s="155"/>
      <c r="S29" s="155"/>
    </row>
    <row r="30" spans="1:20" x14ac:dyDescent="0.25">
      <c r="B30" s="14" t="s">
        <v>838</v>
      </c>
      <c r="C30"/>
      <c r="D30" s="41" t="s">
        <v>567</v>
      </c>
      <c r="I30" s="41" t="s">
        <v>567</v>
      </c>
      <c r="P30" s="13" t="s">
        <v>567</v>
      </c>
      <c r="R30" s="13" t="s">
        <v>567</v>
      </c>
      <c r="T30" s="155"/>
    </row>
    <row r="31" spans="1:20" x14ac:dyDescent="0.25">
      <c r="C31"/>
      <c r="D31" s="13" t="s">
        <v>821</v>
      </c>
      <c r="I31" s="13" t="s">
        <v>821</v>
      </c>
      <c r="O31" s="13" t="s">
        <v>826</v>
      </c>
      <c r="Q31" s="13" t="s">
        <v>826</v>
      </c>
      <c r="S31" s="13"/>
      <c r="T31" s="13"/>
    </row>
    <row r="32" spans="1:20" x14ac:dyDescent="0.25">
      <c r="C32"/>
    </row>
    <row r="33" spans="4:21" ht="31.5" customHeight="1" x14ac:dyDescent="0.25">
      <c r="F33" s="1" t="s">
        <v>819</v>
      </c>
      <c r="K33" s="1" t="s">
        <v>830</v>
      </c>
      <c r="L33" s="1"/>
      <c r="M33" s="1"/>
      <c r="O33" s="840" t="s">
        <v>843</v>
      </c>
      <c r="P33" s="840"/>
      <c r="Q33" s="840" t="s">
        <v>844</v>
      </c>
      <c r="R33" s="840"/>
      <c r="S33" s="840" t="s">
        <v>845</v>
      </c>
    </row>
    <row r="34" spans="4:21" x14ac:dyDescent="0.25">
      <c r="O34" s="840"/>
      <c r="P34" s="840"/>
      <c r="Q34" s="840"/>
      <c r="R34" s="840"/>
      <c r="S34" s="840"/>
      <c r="T34" s="840"/>
      <c r="U34" s="840"/>
    </row>
    <row r="35" spans="4:21" x14ac:dyDescent="0.25">
      <c r="D35" s="41"/>
      <c r="I35" s="41"/>
      <c r="O35" s="840"/>
      <c r="P35" s="840"/>
      <c r="Q35" s="840"/>
      <c r="R35" s="840"/>
      <c r="S35" s="840"/>
      <c r="T35" s="840"/>
      <c r="U35" s="840"/>
    </row>
    <row r="36" spans="4:21" ht="45" x14ac:dyDescent="0.25">
      <c r="F36" s="154" t="s">
        <v>820</v>
      </c>
      <c r="H36" s="154" t="s">
        <v>839</v>
      </c>
      <c r="K36" s="154" t="s">
        <v>831</v>
      </c>
      <c r="L36" s="1"/>
      <c r="M36" s="154" t="s">
        <v>842</v>
      </c>
      <c r="O36" s="13"/>
      <c r="Q36" s="13"/>
      <c r="S36" s="13"/>
      <c r="T36" s="840"/>
      <c r="U36" s="840"/>
    </row>
    <row r="38" spans="4:21" ht="15" customHeight="1" x14ac:dyDescent="0.25">
      <c r="O38" s="14" t="s">
        <v>824</v>
      </c>
      <c r="Q38" s="14" t="s">
        <v>824</v>
      </c>
      <c r="S38" s="14" t="s">
        <v>824</v>
      </c>
    </row>
    <row r="39" spans="4:21" ht="19.5" customHeight="1" x14ac:dyDescent="0.25">
      <c r="F39" s="154"/>
      <c r="K39" s="154"/>
      <c r="L39" s="154"/>
      <c r="M39" s="154"/>
      <c r="N39" s="154"/>
      <c r="P39" s="1"/>
    </row>
    <row r="41" spans="4:21" ht="49.5" customHeight="1" x14ac:dyDescent="0.25">
      <c r="F41" s="154" t="s">
        <v>840</v>
      </c>
      <c r="H41" s="1" t="s">
        <v>822</v>
      </c>
      <c r="K41" s="154" t="s">
        <v>841</v>
      </c>
      <c r="L41" s="154"/>
      <c r="M41" s="1" t="s">
        <v>822</v>
      </c>
    </row>
    <row r="46" spans="4:21" ht="45" x14ac:dyDescent="0.25">
      <c r="H46" s="40" t="s">
        <v>823</v>
      </c>
      <c r="I46" s="1" t="s">
        <v>837</v>
      </c>
      <c r="J46" s="154"/>
      <c r="K46" s="154" t="s">
        <v>835</v>
      </c>
      <c r="L46" s="154"/>
      <c r="M46" s="40" t="s">
        <v>823</v>
      </c>
      <c r="N46" s="2" t="s">
        <v>836</v>
      </c>
      <c r="O46" s="40" t="s">
        <v>835</v>
      </c>
    </row>
    <row r="47" spans="4:21" x14ac:dyDescent="0.25">
      <c r="H47" s="41"/>
      <c r="M47" s="41"/>
    </row>
    <row r="49" spans="8:13" x14ac:dyDescent="0.25">
      <c r="H49" s="13" t="s">
        <v>825</v>
      </c>
      <c r="M49" s="13" t="s">
        <v>825</v>
      </c>
    </row>
    <row r="51" spans="8:13" x14ac:dyDescent="0.25">
      <c r="H51" s="14" t="s">
        <v>824</v>
      </c>
      <c r="M51" s="14" t="s">
        <v>824</v>
      </c>
    </row>
  </sheetData>
  <mergeCells count="9">
    <mergeCell ref="A14:C14"/>
    <mergeCell ref="A23:C23"/>
    <mergeCell ref="T34:U36"/>
    <mergeCell ref="S33:S35"/>
    <mergeCell ref="A17:C17"/>
    <mergeCell ref="P33:P35"/>
    <mergeCell ref="O33:O35"/>
    <mergeCell ref="Q33:Q35"/>
    <mergeCell ref="R33:R35"/>
  </mergeCell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22</vt:i4>
      </vt:variant>
    </vt:vector>
  </HeadingPairs>
  <TitlesOfParts>
    <vt:vector size="36" baseType="lpstr">
      <vt:lpstr>Parrilla Nitrificacion Parcial</vt:lpstr>
      <vt:lpstr>Planta USA</vt:lpstr>
      <vt:lpstr>Agua-T°C</vt:lpstr>
      <vt:lpstr>Nitrificación</vt:lpstr>
      <vt:lpstr>Tubería de Aireación</vt:lpstr>
      <vt:lpstr>Tuberías Varias</vt:lpstr>
      <vt:lpstr>Válvula de Flotador</vt:lpstr>
      <vt:lpstr>Lecho de Secado</vt:lpstr>
      <vt:lpstr>Diagrama flujo TQA</vt:lpstr>
      <vt:lpstr>Controles</vt:lpstr>
      <vt:lpstr>Secuencia</vt:lpstr>
      <vt:lpstr> TQA Datos</vt:lpstr>
      <vt:lpstr>Burbujas</vt:lpstr>
      <vt:lpstr>Peso Atomico</vt:lpstr>
      <vt:lpstr>'Peso Atomico'!a</vt:lpstr>
      <vt:lpstr>' TQA Datos'!Área_de_impresión</vt:lpstr>
      <vt:lpstr>'Peso Atomico'!b</vt:lpstr>
      <vt:lpstr>'Peso Atomico'!d</vt:lpstr>
      <vt:lpstr>'Diagrama flujo TQA'!descripcion</vt:lpstr>
      <vt:lpstr>'Peso Atomico'!e</vt:lpstr>
      <vt:lpstr>'Peso Atomico'!g</vt:lpstr>
      <vt:lpstr>'Peso Atomico'!h</vt:lpstr>
      <vt:lpstr>'Peso Atomico'!i</vt:lpstr>
      <vt:lpstr>'Peso Atomico'!k</vt:lpstr>
      <vt:lpstr>'Peso Atomico'!l</vt:lpstr>
      <vt:lpstr>'Peso Atomico'!m</vt:lpstr>
      <vt:lpstr>'Peso Atomico'!n</vt:lpstr>
      <vt:lpstr>'Peso Atomico'!o</vt:lpstr>
      <vt:lpstr>'Peso Atomico'!p</vt:lpstr>
      <vt:lpstr>'Peso Atomico'!s</vt:lpstr>
      <vt:lpstr>'Peso Atomico'!t</vt:lpstr>
      <vt:lpstr>'Peso Atomico'!u</vt:lpstr>
      <vt:lpstr>'Peso Atomico'!v</vt:lpstr>
      <vt:lpstr>'Peso Atomico'!x</vt:lpstr>
      <vt:lpstr>'Peso Atomico'!y</vt:lpstr>
      <vt:lpstr>'Peso Atomico'!z</vt:lpstr>
    </vt:vector>
  </TitlesOfParts>
  <Company>ABC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2013-06-23T19:08:58Z</cp:lastPrinted>
  <dcterms:created xsi:type="dcterms:W3CDTF">2010-07-01T13:55:26Z</dcterms:created>
  <dcterms:modified xsi:type="dcterms:W3CDTF">2023-02-09T14:39:16Z</dcterms:modified>
</cp:coreProperties>
</file>